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qFZMkOafIPuYsJQ9lVwenXjIlGmt6JxczH4tjiCKz9og2B7n2KxpmitMZpE6CA693VsfSm1caPeoKm0CHVWzSg==" workbookSaltValue="98Kp+5vbsjYykeaf+rgn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U17" i="11"/>
  <c r="K21" i="27"/>
  <c r="E21" i="27"/>
  <c r="AC20" i="8" l="1"/>
  <c r="BF18"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G20" i="7"/>
  <c r="BL21" i="26"/>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AX21" i="21"/>
  <c r="AU21" i="17"/>
  <c r="BP21" i="16"/>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J21" i="11"/>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<sst xmlns="http://schemas.openxmlformats.org/spreadsheetml/2006/main" count="2527" uniqueCount="1026">
  <si>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</si>
  <si>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</si>
  <si>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</si>
  <si>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</si>
  <si>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</si>
  <si>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</si>
  <si>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</si>
  <si>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</si>
  <si>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</si>
  <si>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</si>
  <si>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</si>
  <si>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</si>
  <si>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</si>
  <si>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</si>
  <si>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</si>
  <si>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</si>
  <si>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</si>
  <si>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</si>
  <si>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</si>
  <si>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</si>
  <si>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</si>
  <si>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</si>
  <si>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</si>
  <si>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</si>
  <si>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</si>
  <si>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</si>
  <si>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</si>
  <si>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</si>
  <si>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</si>
  <si>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</si>
  <si>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</si>
  <si>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</si>
  <si>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</si>
  <si>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</si>
  <si>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</si>
  <si>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</si>
  <si>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</si>
  <si>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</si>
  <si>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</si>
  <si>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</si>
  <si>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</si>
  <si>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</si>
  <si>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</si>
  <si>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</si>
  <si>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</si>
  <si>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</si>
  <si>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</si>
  <si>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</si>
  <si>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</si>
  <si>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</si>
  <si>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</si>
  <si>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</si>
  <si>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</si>
  <si>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</si>
  <si>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</si>
  <si>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</si>
  <si>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</si>
  <si>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</si>
  <si>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</si>
  <si>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</si>
  <si>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</si>
  <si>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</si>
  <si>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</si>
  <si>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</si>
  <si>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</si>
  <si>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</si>
  <si>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</si>
  <si>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</si>
  <si>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</si>
  <si>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</si>
  <si>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</si>
  <si>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</si>
  <si>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</si>
  <si>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</si>
  <si>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</si>
  <si>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</si>
  <si>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</si>
  <si>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</si>
  <si>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</si>
  <si>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</si>
  <si>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</si>
  <si>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</si>
  <si>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</si>
  <si>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</si>
  <si>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</si>
  <si>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</si>
  <si>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</si>
  <si>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</si>
  <si>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</si>
  <si>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</si>
  <si>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</si>
  <si>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</si>
  <si>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</si>
  <si>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</si>
  <si>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</si>
  <si>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</si>
  <si>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</si>
  <si>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</si>
  <si>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</si>
  <si>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</si>
  <si>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</si>
  <si>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</si>
  <si>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</si>
  <si>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</si>
  <si>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</si>
  <si>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</si>
  <si>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</si>
  <si>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</si>
  <si>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</si>
  <si>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</si>
  <si>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</si>
  <si>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</si>
  <si>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</si>
  <si>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</si>
  <si>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</si>
  <si>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</si>
  <si>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</si>
  <si>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</si>
  <si>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</si>
  <si>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</si>
  <si>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</si>
  <si>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</si>
  <si>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</si>
  <si>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</si>
  <si>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</si>
  <si>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</si>
  <si>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</si>
  <si>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</si>
  <si>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</si>
  <si>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</si>
  <si>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</si>
  <si>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</si>
  <si>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</si>
  <si>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</si>
  <si>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</si>
  <si>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</si>
  <si>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</si>
  <si>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</si>
  <si>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</si>
  <si>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</si>
  <si>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</si>
  <si>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</si>
  <si>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</si>
  <si>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</si>
  <si>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</si>
  <si>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</si>
  <si>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</si>
  <si>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</si>
  <si>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</si>
  <si>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</si>
  <si>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</si>
  <si>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</si>
  <si>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</si>
  <si>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</si>
  <si>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</si>
  <si>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</si>
  <si>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</si>
  <si>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</si>
  <si>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</si>
  <si>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</si>
  <si>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</si>
  <si>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</si>
  <si>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</si>
  <si>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</si>
  <si>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</si>
  <si>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</si>
  <si>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</si>
  <si>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</si>
  <si>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</si>
  <si>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</si>
  <si>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</si>
  <si>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</si>
  <si>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</si>
  <si>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</si>
  <si>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</si>
  <si>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</si>
  <si>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</si>
  <si>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</si>
  <si>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</si>
  <si>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</si>
  <si>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</si>
  <si>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</si>
  <si>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</si>
  <si>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</si>
  <si>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</si>
  <si>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</si>
  <si>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</si>
  <si>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</si>
  <si>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</si>
  <si>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</si>
  <si>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</si>
  <si>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</si>
  <si>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</si>
  <si>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</si>
  <si>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</si>
  <si>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</si>
  <si>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</si>
  <si>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</si>
  <si>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</si>
  <si>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</si>
  <si>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</si>
  <si>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</si>
  <si>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</si>
  <si>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</si>
  <si>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</si>
  <si>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</si>
  <si>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</si>
  <si>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</si>
  <si>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</si>
  <si>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</si>
  <si>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</si>
  <si>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</si>
  <si>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</si>
  <si>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</si>
  <si>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</si>
  <si>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</si>
  <si>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</si>
  <si>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</si>
  <si>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</si>
  <si>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</si>
  <si>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</si>
  <si>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</si>
  <si>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</si>
  <si>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</si>
  <si>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</si>
  <si>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</si>
  <si>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</si>
  <si>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</si>
  <si>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</si>
  <si>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</si>
  <si>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</si>
  <si>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</si>
  <si>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</si>
  <si>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</si>
  <si>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</si>
  <si>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</si>
  <si>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</si>
  <si>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</si>
  <si>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</si>
  <si>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</si>
  <si>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</si>
  <si>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</si>
  <si>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</si>
  <si>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</si>
  <si>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</si>
  <si>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</si>
  <si>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</si>
  <si>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</si>
  <si>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</si>
  <si>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</si>
  <si>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</si>
  <si>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</si>
  <si>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</si>
  <si>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</si>
  <si>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</si>
  <si>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</si>
  <si>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</si>
  <si>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</si>
  <si>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</si>
  <si>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</si>
  <si>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</si>
  <si>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</si>
  <si>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</si>
  <si>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</si>
  <si>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</si>
  <si>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</si>
  <si>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</si>
  <si>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</si>
  <si>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</si>
  <si>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</si>
  <si>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</si>
  <si>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</si>
  <si>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</si>
  <si>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</si>
  <si>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</si>
  <si>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</si>
  <si>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</si>
  <si>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</si>
  <si>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</si>
  <si>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</si>
  <si>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</si>
  <si>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</si>
  <si>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</si>
  <si>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</si>
  <si>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</si>
  <si>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</si>
  <si>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</si>
  <si>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</si>
  <si>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</si>
  <si>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</si>
  <si>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</si>
  <si>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</si>
  <si>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</si>
  <si>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</si>
  <si>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</si>
  <si>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</si>
  <si>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</si>
  <si>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</si>
  <si>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</si>
  <si>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</si>
  <si>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</si>
  <si>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</si>
  <si>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</si>
  <si>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</si>
  <si>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</si>
  <si>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</si>
  <si>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</si>
  <si>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</si>
  <si>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</si>
  <si>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</si>
  <si>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</si>
  <si>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</si>
  <si>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</si>
  <si>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</si>
  <si>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</si>
  <si>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</si>
  <si>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</si>
  <si>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</si>
  <si>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</si>
  <si>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</si>
  <si>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</si>
  <si>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</si>
  <si>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</si>
  <si>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</si>
  <si>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</si>
  <si>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</si>
  <si>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</si>
  <si>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</si>
  <si>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</si>
  <si>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</si>
  <si>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</si>
  <si>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</si>
  <si>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</si>
  <si>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</si>
  <si>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</si>
  <si>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</si>
  <si>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</si>
  <si>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</si>
  <si>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</si>
  <si>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</si>
  <si>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</si>
  <si>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</si>
  <si>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</si>
  <si>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</si>
  <si>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</si>
  <si>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</si>
  <si>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</si>
  <si>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</si>
  <si>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</si>
  <si>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</si>
  <si>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</si>
  <si>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</si>
  <si>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</si>
  <si>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</si>
  <si>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</si>
  <si>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</si>
  <si>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</si>
  <si>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</si>
  <si>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</si>
  <si>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</si>
  <si>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</si>
  <si>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</si>
  <si>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</si>
  <si>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</si>
  <si>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</si>
  <si>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</si>
  <si>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</si>
  <si>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</si>
  <si>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</si>
  <si>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</si>
  <si>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</si>
  <si>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</si>
  <si>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</si>
  <si>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</si>
  <si>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</si>
  <si>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</si>
  <si>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</si>
  <si>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</si>
  <si>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</si>
  <si>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</si>
  <si>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</si>
  <si>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</si>
  <si>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</si>
  <si>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</si>
  <si>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</si>
  <si>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</si>
  <si>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</si>
  <si>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</si>
  <si>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</si>
  <si>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</si>
  <si>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</si>
  <si>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</si>
  <si>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</si>
  <si>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</si>
  <si>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</si>
  <si>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</si>
  <si>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</si>
  <si>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</si>
  <si>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</si>
  <si>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</si>
  <si>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</si>
  <si>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</si>
  <si>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</si>
  <si>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</si>
  <si>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</si>
  <si>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</si>
  <si>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</si>
  <si>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</si>
  <si>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</si>
  <si>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</si>
  <si>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</si>
  <si>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</si>
  <si>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</si>
  <si>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</si>
  <si>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</si>
  <si>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</si>
  <si>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</si>
  <si>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</si>
  <si>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</si>
  <si>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</si>
  <si>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</si>
  <si>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</si>
  <si>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</si>
  <si>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</si>
  <si>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</si>
  <si>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</si>
  <si>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</si>
  <si>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</si>
  <si>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</si>
  <si>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</si>
  <si>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</si>
  <si>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</si>
  <si>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</si>
  <si>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</si>
  <si>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</si>
  <si>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</si>
  <si>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</si>
  <si>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</si>
  <si>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</si>
  <si>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</si>
  <si>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</si>
  <si>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</si>
  <si>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</si>
  <si>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</si>
  <si>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</si>
  <si>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</si>
  <si>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</si>
  <si>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</si>
  <si>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</si>
  <si>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</si>
  <si>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</si>
  <si>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</si>
  <si>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</si>
  <si>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</si>
  <si>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</si>
  <si>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</si>
  <si>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</si>
  <si>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</si>
  <si>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</si>
  <si>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</si>
  <si>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</si>
  <si>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</si>
  <si>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</si>
  <si>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</si>
  <si>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</si>
  <si>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</si>
  <si>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</si>
  <si>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</si>
  <si>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</si>
  <si>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</si>
  <si>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</si>
  <si>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</si>
  <si>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</si>
  <si>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</si>
  <si>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</si>
  <si>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</si>
  <si>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</si>
  <si>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</si>
  <si>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</si>
  <si>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</si>
  <si>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</si>
  <si>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</si>
  <si>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</si>
  <si>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</si>
  <si>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</si>
  <si>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</si>
  <si>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</si>
  <si>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</si>
  <si>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</si>
  <si>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</si>
  <si>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</si>
  <si>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</si>
  <si>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</si>
  <si>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</si>
  <si>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</si>
  <si>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</si>
  <si>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</si>
  <si>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</si>
  <si>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</si>
  <si>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</si>
  <si>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</si>
  <si>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</si>
  <si>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</si>
  <si>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</si>
  <si>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</si>
  <si>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</si>
  <si>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</si>
  <si>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</si>
  <si>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</si>
  <si>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</si>
  <si>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</si>
  <si>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</si>
  <si>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</si>
  <si>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</si>
  <si>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</si>
  <si>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</si>
  <si>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</si>
  <si>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</si>
  <si>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</si>
  <si>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</si>
  <si>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</si>
  <si>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</si>
  <si>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</si>
  <si>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</si>
  <si>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</si>
  <si>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</si>
  <si>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</si>
  <si>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</si>
  <si>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</si>
  <si>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</si>
  <si>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</si>
  <si>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</si>
  <si>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</si>
  <si>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</si>
  <si>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</si>
  <si>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</si>
  <si>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</si>
  <si>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</si>
  <si>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</si>
  <si>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</si>
  <si>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</si>
  <si>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</si>
  <si>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</si>
  <si>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</si>
  <si>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</si>
  <si>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</si>
  <si>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</si>
  <si>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</si>
  <si>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</si>
  <si>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</si>
  <si>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</si>
  <si>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</si>
  <si>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</si>
  <si>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</si>
  <si>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</si>
  <si>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</si>
  <si>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</si>
  <si>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</si>
  <si>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</si>
  <si>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</si>
  <si>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</si>
  <si>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</si>
  <si>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</si>
  <si>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</si>
  <si>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</si>
  <si>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</si>
  <si>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</si>
  <si>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</si>
  <si>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</si>
  <si>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</si>
  <si>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</si>
  <si>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</si>
  <si>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</si>
  <si>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</si>
  <si>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</si>
  <si>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</si>
  <si>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</si>
  <si>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</si>
  <si>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</si>
  <si>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</si>
  <si>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</si>
  <si>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</si>
  <si>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</si>
  <si>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</si>
  <si>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</si>
  <si>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</si>
  <si>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</si>
  <si>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</si>
  <si>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</si>
  <si>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</si>
  <si>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</si>
  <si>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</si>
  <si>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</si>
  <si>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</si>
  <si>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</si>
  <si>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</si>
  <si>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</si>
  <si>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</si>
  <si>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</si>
  <si>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</si>
  <si>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</si>
  <si>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</si>
  <si>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</si>
  <si>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</si>
  <si>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</si>
  <si>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</si>
  <si>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</si>
  <si>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</si>
  <si>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</si>
  <si>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</si>
  <si>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</si>
  <si>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</si>
  <si>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</si>
  <si>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</si>
  <si>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</si>
  <si>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</si>
  <si>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</si>
  <si>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</si>
  <si>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</si>
  <si>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</si>
  <si>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</si>
  <si>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</si>
  <si>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</si>
  <si>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</si>
  <si>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</si>
  <si>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</si>
  <si>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</si>
  <si>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</si>
  <si>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</si>
  <si>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</si>
  <si>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</si>
  <si>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</si>
  <si>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</si>
  <si>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</si>
  <si>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</si>
  <si>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</si>
  <si>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</si>
  <si>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</si>
  <si>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</si>
  <si>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</si>
  <si>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</si>
  <si>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</si>
  <si>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</si>
  <si>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</si>
  <si>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</si>
  <si>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</si>
  <si>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</si>
  <si>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</si>
  <si>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</si>
  <si>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</si>
  <si>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</si>
  <si>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</si>
  <si>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</si>
  <si>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</si>
  <si>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</si>
  <si>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</si>
  <si>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</si>
  <si>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</si>
  <si>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</si>
  <si>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</si>
  <si>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</si>
  <si>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</si>
  <si>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</si>
  <si>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</si>
  <si>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</si>
  <si>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</si>
  <si>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</si>
  <si>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</si>
  <si>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</si>
  <si>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</si>
  <si>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</si>
  <si>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</si>
  <si>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</si>
  <si>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</si>
  <si>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</si>
  <si>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</si>
  <si>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</si>
  <si>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</si>
  <si>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</si>
  <si>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</si>
  <si>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</si>
  <si>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</si>
  <si>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</si>
  <si>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</si>
  <si>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</si>
  <si>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</si>
  <si>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</si>
  <si>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</si>
  <si>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</si>
  <si>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</si>
  <si>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</si>
  <si>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</si>
  <si>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</si>
  <si>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</si>
  <si>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</si>
  <si>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</si>
  <si>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</si>
  <si>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</si>
  <si>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</si>
  <si>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</si>
  <si>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</si>
  <si>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</si>
  <si>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</si>
  <si>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</si>
  <si>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</si>
  <si>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</si>
  <si>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</si>
  <si>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</si>
  <si>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</si>
  <si>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</si>
  <si>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</si>
  <si>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</si>
  <si>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</si>
  <si>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</si>
  <si>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</si>
  <si>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</si>
  <si>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</si>
  <si>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</si>
  <si>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</si>
  <si>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</si>
  <si>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</si>
  <si>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</si>
  <si>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</si>
  <si>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</si>
  <si>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</si>
  <si>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</si>
  <si>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</si>
  <si>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</si>
  <si>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</si>
  <si>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</si>
  <si>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</si>
  <si>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</si>
  <si>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</si>
  <si>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</si>
  <si>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</si>
  <si>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</si>
  <si>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</si>
  <si>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</si>
  <si>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</si>
  <si>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</si>
  <si>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</si>
  <si>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</si>
  <si>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</si>
  <si>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</si>
  <si>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</si>
  <si>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</si>
  <si>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</si>
  <si>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</si>
  <si>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</si>
  <si>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</si>
  <si>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</si>
  <si>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</si>
  <si>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</si>
  <si>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</si>
  <si>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</si>
  <si>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</si>
  <si>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</si>
  <si>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</si>
  <si>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</si>
  <si>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</si>
  <si>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</si>
  <si>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</si>
  <si>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</si>
  <si>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</si>
  <si>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</si>
  <si>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</si>
  <si>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</si>
  <si>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</si>
  <si>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</si>
  <si>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</si>
  <si>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</si>
  <si>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</si>
  <si>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</si>
  <si>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</si>
  <si>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</si>
  <si>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</si>
  <si>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</si>
  <si>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</si>
  <si>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</si>
  <si>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</si>
  <si>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</si>
  <si>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</si>
  <si>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</si>
  <si>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</si>
  <si>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</si>
  <si>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</si>
  <si>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</si>
  <si>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</si>
  <si>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</si>
  <si>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</si>
  <si>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</si>
  <si>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</si>
  <si>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</si>
  <si>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</si>
  <si>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</si>
  <si>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</si>
  <si>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</si>
  <si>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</si>
  <si>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</si>
  <si>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</si>
  <si>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</si>
  <si>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</si>
  <si>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</si>
  <si>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</si>
  <si>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</si>
  <si>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</si>
  <si>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</si>
  <si>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</si>
  <si>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</si>
  <si>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</si>
  <si>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</si>
  <si>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</si>
  <si>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</si>
  <si>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</si>
  <si>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</si>
  <si>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</si>
  <si>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</si>
  <si>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</si>
  <si>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</si>
  <si>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</si>
  <si>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</si>
  <si>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</si>
  <si>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</si>
  <si>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</si>
  <si>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</si>
  <si>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</si>
  <si>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</si>
  <si>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</si>
  <si>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</si>
  <si>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</si>
  <si>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</si>
  <si>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</si>
  <si>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</si>
  <si>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</si>
  <si>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</si>
  <si>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</si>
  <si>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</si>
  <si>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</si>
  <si>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</si>
  <si>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</si>
  <si>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</si>
  <si>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</si>
  <si>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</si>
  <si>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</si>
  <si>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</si>
  <si>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</si>
  <si>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</si>
  <si>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</si>
  <si>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</si>
  <si>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</si>
  <si>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</si>
  <si>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</si>
  <si>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</si>
  <si>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</si>
  <si>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</si>
  <si>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</si>
  <si>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</si>
  <si>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</si>
  <si>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</si>
  <si>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</si>
  <si>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</si>
  <si>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</si>
  <si>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</si>
  <si>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</si>
  <si>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</si>
  <si>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</si>
  <si>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</si>
  <si>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</si>
  <si>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</si>
  <si>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</si>
  <si>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</si>
  <si>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</si>
  <si>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</si>
  <si>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</si>
  <si>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</si>
  <si>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</si>
  <si>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</si>
  <si>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</si>
  <si>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</si>
  <si>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</si>
  <si>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</si>
  <si>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</si>
  <si>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</si>
  <si>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</si>
  <si>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</si>
  <si>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</si>
  <si>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</si>
  <si>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</si>
  <si>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</si>
  <si>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</si>
  <si>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</si>
  <si>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</si>
  <si>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</si>
  <si>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</si>
  <si>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</si>
  <si>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</si>
  <si>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</si>
  <si>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</si>
  <si>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</si>
  <si>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</si>
  <si>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</si>
  <si>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</si>
  <si>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</si>
  <si>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</si>
  <si>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</si>
  <si>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</si>
  <si>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</si>
  <si>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</si>
  <si>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</si>
  <si>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</si>
  <si>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</si>
  <si>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</si>
  <si>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</si>
  <si>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</si>
  <si>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</si>
  <si>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</si>
  <si>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</si>
  <si>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</si>
  <si>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</si>
  <si>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</si>
  <si>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</si>
  <si>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</si>
  <si>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</si>
  <si>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</si>
  <si>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</si>
  <si>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</si>
  <si>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</si>
  <si>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</si>
  <si>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</si>
  <si>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</si>
  <si>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</si>
  <si>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</si>
  <si>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</si>
  <si>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</si>
  <si>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</si>
  <si>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</si>
  <si>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</si>
  <si>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</si>
  <si>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</si>
  <si>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</si>
  <si>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</si>
  <si>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</si>
  <si>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</si>
  <si>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</si>
  <si>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</si>
  <si>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</si>
  <si>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</si>
  <si>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</si>
  <si>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</si>
  <si>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</si>
  <si>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</si>
  <si>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</si>
  <si>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</si>
  <si>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</si>
  <si>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</si>
  <si>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</si>
  <si>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</si>
  <si>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</si>
  <si>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</si>
  <si>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</si>
  <si>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</si>
  <si>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</si>
  <si>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</si>
  <si>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</si>
  <si>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</si>
  <si>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</si>
  <si>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</si>
  <si>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</si>
  <si>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</si>
  <si>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</si>
  <si>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</si>
  <si>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</si>
  <si>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</si>
  <si>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</si>
  <si>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</si>
  <si>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</si>
  <si>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</si>
  <si>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</si>
  <si>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</si>
  <si>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</si>
  <si>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</si>
  <si>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</si>
  <si>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</si>
  <si>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</si>
  <si>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</si>
  <si>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</si>
  <si>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</si>
  <si>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</si>
  <si>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</si>
  <si>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</si>
  <si>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</si>
  <si>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</si>
  <si>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</si>
  <si>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</si>
  <si>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</si>
  <si>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</si>
  <si>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</si>
  <si>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</si>
  <si>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</si>
  <si>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</si>
  <si>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</si>
  <si>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</si>
  <si>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</si>
  <si>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</si>
  <si>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</si>
  <si>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</si>
  <si>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</si>
  <si>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</si>
  <si>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</si>
  <si>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</si>
  <si>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</si>
  <si>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</si>
  <si>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</si>
  <si>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</si>
  <si>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</si>
  <si>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</si>
  <si>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</si>
  <si>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</si>
  <si>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</si>
  <si>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</si>
  <si>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</si>
  <si>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</si>
  <si>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</si>
  <si>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GIRONA</t>
  </si>
  <si>
    <t>Resumenes por Partidos Judiciales</t>
  </si>
  <si>
    <t>SANTA COLOMA DE FARNERS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</si>
</sst>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qp8uEwhxZMZiJZnruYAkioaHizfSTktQmVbvkX0t+HdSirqk7WtQVhtuJr4kS8BNYLJn07GoYX+j4buTgZScg==" saltValue="6T60eXmd6qUsutzVCiJ7b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143</v>
      </c>
      <c r="D10" s="224">
        <f>IF(ISNUMBER(Datos!I10),Datos!I10," - ")</f>
        <v>143</v>
      </c>
      <c r="E10" s="225">
        <f>IF(ISNUMBER(Datos!J10),Datos!J10," - ")</f>
        <v>22</v>
      </c>
      <c r="F10" s="225">
        <f>IF(ISNUMBER(Datos!K10),Datos!K10," - ")</f>
        <v>14</v>
      </c>
      <c r="G10" s="1029" t="str">
        <f>IF(Datos!E10&lt;&gt;"",Datos!E10,Datos!D10)</f>
        <v>37</v>
      </c>
      <c r="H10" s="226">
        <f>IF(ISNUMBER(Datos!L10),Datos!L10," - ")</f>
        <v>151</v>
      </c>
      <c r="I10" s="1039" t="str">
        <f>IF(ISNUMBER(Datos!AS10/Datos!BM10),Datos!AS10/Datos!BM10," - ")</f>
        <v xml:space="preserve"> - </v>
      </c>
      <c r="J10" s="1040">
        <f>IF(ISNUMBER(Datos!BY10/Datos!CN10),Datos!BY10/Datos!CN10," - ")</f>
        <v>0</v>
      </c>
      <c r="K10" s="229">
        <f t="shared" ref="K10:K12" si="1">IF(ISNUMBER((E10-F10)/C10),(E10-F10)/C10," - ")</f>
        <v>5.5944055944055944E-2</v>
      </c>
      <c r="L10" s="1020">
        <f>IF(ISNUMBER(NºAsuntos!I10/NºAsuntos!G10),(NºAsuntos!I10/NºAsuntos!G10)*11," - ")</f>
        <v>118.64285714285715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49.8129218900675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143</v>
      </c>
      <c r="D13" s="1044">
        <f>SUBTOTAL(9,D9:D12)</f>
        <v>143</v>
      </c>
      <c r="E13" s="1045">
        <f>SUBTOTAL(9,E9:E12)</f>
        <v>22</v>
      </c>
      <c r="F13" s="1046">
        <f>SUBTOTAL(9,F9:F12)</f>
        <v>14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2959</v>
      </c>
      <c r="D17" s="224">
        <f>IF(ISNUMBER(IF(D_I="SI",Datos!I17,Datos!I17+Datos!AC17)),IF(D_I="SI",Datos!I17,Datos!I17+Datos!AC17)," - ")</f>
        <v>2959</v>
      </c>
      <c r="E17" s="225">
        <f>IF(ISNUMBER(IF(D_I="SI",Datos!J17,Datos!J17+Datos!AD17)),IF(D_I="SI",Datos!J17,Datos!J17+Datos!AD17)," - ")</f>
        <v>948</v>
      </c>
      <c r="F17" s="225">
        <f>IF(ISNUMBER(IF(D_I="SI",Datos!K17,Datos!K17+Datos!AE17)),IF(D_I="SI",Datos!K17,Datos!K17+Datos!AE17)," - ")</f>
        <v>1115</v>
      </c>
      <c r="G17" s="1029" t="str">
        <f>IF(Datos!E17&lt;&gt;"",Datos!E17,Datos!D17)</f>
        <v>04</v>
      </c>
      <c r="H17" s="226">
        <f>IF(ISNUMBER(IF(D_I="SI",Datos!L17,Datos!L17+Datos!AF17)),IF(D_I="SI",Datos!L17,Datos!L17+Datos!AF17)," - ")</f>
        <v>2792</v>
      </c>
      <c r="I17" s="1039" t="str">
        <f>IF(ISNUMBER(Datos!AS17/Datos!BM17),Datos!AS17/Datos!BM17," - ")</f>
        <v xml:space="preserve"> - </v>
      </c>
      <c r="J17" s="1040">
        <f>IF(ISNUMBER(Datos!BY17/Datos!CN17),Datos!BY17/Datos!CN17," - ")</f>
        <v>0</v>
      </c>
      <c r="K17" s="229">
        <f t="shared" si="3"/>
        <v>-5.6437985806015549E-2</v>
      </c>
      <c r="L17" s="1020">
        <f>IF(ISNUMBER(NºAsuntos!I17/NºAsuntos!G17),(NºAsuntos!I17/NºAsuntos!G17)*11," - ")</f>
        <v>27.54439461883408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210</v>
      </c>
      <c r="D18" s="224">
        <f>IF(ISNUMBER(IF(D_I="SI",Datos!I18,Datos!I18+Datos!AC18)),IF(D_I="SI",Datos!I18,Datos!I18+Datos!AC18)," - ")</f>
        <v>205</v>
      </c>
      <c r="E18" s="225">
        <f>IF(ISNUMBER(IF(D_I="SI",Datos!J18,Datos!J18+Datos!AD18)),IF(D_I="SI",Datos!J18,Datos!J18+Datos!AD18)," - ")</f>
        <v>163</v>
      </c>
      <c r="F18" s="225">
        <f>IF(ISNUMBER(IF(D_I="SI",Datos!K18,Datos!K18+Datos!AE18)),IF(D_I="SI",Datos!K18,Datos!K18+Datos!AE18)," - ")</f>
        <v>164</v>
      </c>
      <c r="G18" s="1029" t="str">
        <f>IF(Datos!E18&lt;&gt;"",Datos!E18,Datos!D18)</f>
        <v>37</v>
      </c>
      <c r="H18" s="226">
        <f>IF(ISNUMBER(IF(D_I="SI",Datos!L18,Datos!L18+Datos!AF18)),IF(D_I="SI",Datos!L18,Datos!L18+Datos!AF18)," - ")</f>
        <v>209</v>
      </c>
      <c r="I18" s="1039" t="str">
        <f>IF(ISNUMBER(Datos!AS18/Datos!BM18),Datos!AS18/Datos!BM18," - ")</f>
        <v xml:space="preserve"> - </v>
      </c>
      <c r="J18" s="1040" t="str">
        <f>IF(ISNUMBER((Datos!BY18+Datos!BZ18)/Datos!CN18),(Datos!BY18+Datos!BZ18)/Datos!CN18," - ")</f>
        <v xml:space="preserve"> - </v>
      </c>
      <c r="K18" s="229">
        <f t="shared" si="3"/>
        <v>-4.7619047619047623E-3</v>
      </c>
      <c r="L18" s="1020">
        <f>IF(ISNUMBER(NºAsuntos!I18/NºAsuntos!G18),(NºAsuntos!I18/NºAsuntos!G18)*11," - ")</f>
        <v>14.01829268292683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3169</v>
      </c>
      <c r="D19" s="1044">
        <f>SUBTOTAL(9,D15:D18)</f>
        <v>3164</v>
      </c>
      <c r="E19" s="1045">
        <f>SUBTOTAL(9,E15:E18)</f>
        <v>1111</v>
      </c>
      <c r="F19" s="1045">
        <f>SUBTOTAL(9,F15:F18)</f>
        <v>1279</v>
      </c>
      <c r="G19" s="1047" t="str">
        <f ca="1">INDIRECT(CONCATENATE("G",ROW()-1))</f>
        <v>37</v>
      </c>
      <c r="H19" s="1048">
        <f ca="1">SUMIF(G$14:G18,G19,H$14:H18)</f>
        <v>209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3312</v>
      </c>
      <c r="D20" s="1066">
        <f>SUBTOTAL(9,D9:D19)</f>
        <v>3307</v>
      </c>
      <c r="E20" s="1067">
        <f>SUBTOTAL(9,E9:E19)</f>
        <v>1133</v>
      </c>
      <c r="F20" s="1067">
        <f>SUBTOTAL(9,F9:F19)</f>
        <v>1293</v>
      </c>
      <c r="G20" s="1068"/>
      <c r="H20" s="1069">
        <f ca="1">SUMIF(B9:B19,"TOTAL",H9:H19)</f>
        <v>209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TGqv20LSXMaK4pWNYHTW5VnvQiW06YuthrenyFqbfvB3PLZtainKeo9Hfb0k59mZQlg2cOctjKBURqNdYNJBCg==" saltValue="BmAzIoGtL7SqfQQ9zLvEr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WlgQLIBPsmwM+kCMMhDKkD5KJb8HqFXRtCHMZzyTPdCVOZORguFK6l6UUJewFo9UJYDAUhz/rlcct92v/IwH8Q==" saltValue="z4miogK9tdw5l1sfSAUs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143</v>
      </c>
      <c r="J10" s="180">
        <v>22</v>
      </c>
      <c r="K10" s="180">
        <v>14</v>
      </c>
      <c r="L10" s="180">
        <v>151</v>
      </c>
      <c r="M10" s="180">
        <v>4</v>
      </c>
      <c r="N10" s="180">
        <v>5</v>
      </c>
      <c r="O10" s="180">
        <v>2</v>
      </c>
      <c r="P10" s="180">
        <v>2</v>
      </c>
      <c r="Q10" s="180">
        <v>0</v>
      </c>
      <c r="R10" s="180">
        <v>74</v>
      </c>
      <c r="S10" s="180">
        <v>129</v>
      </c>
      <c r="T10" s="180">
        <v>17</v>
      </c>
      <c r="U10" s="180">
        <v>17</v>
      </c>
      <c r="V10" s="180">
        <v>129</v>
      </c>
      <c r="W10" s="180">
        <v>4</v>
      </c>
      <c r="X10" s="187">
        <v>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129</v>
      </c>
      <c r="AZ10" s="129">
        <f t="shared" si="0"/>
        <v>17</v>
      </c>
      <c r="BA10" s="129">
        <f t="shared" si="0"/>
        <v>17</v>
      </c>
      <c r="BB10" s="129">
        <f t="shared" si="0"/>
        <v>129</v>
      </c>
      <c r="BC10" s="125">
        <f t="shared" si="0"/>
        <v>4</v>
      </c>
      <c r="BD10" s="126">
        <f>IF(ISNUMBER(BA10/AZ10),BA10/AZ10," - ")</f>
        <v>1</v>
      </c>
      <c r="BE10" s="127">
        <f>IF(ISNUMBER(BB10/BA10),BB10/BA10, " - ")</f>
        <v>7.5882352941176467</v>
      </c>
      <c r="BF10" s="127">
        <f>IF(ISNUMBER(BC10/BA10),BC10/BA10, " - ")</f>
        <v>0.23529411764705882</v>
      </c>
      <c r="BG10" s="195">
        <f>IF(ISNUMBER((AY10+AZ10)/BA10),(AY10+AZ10)/BA10," - ")</f>
        <v>8.5882352941176467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4362</v>
      </c>
      <c r="J12" s="182">
        <v>1230</v>
      </c>
      <c r="K12" s="182">
        <v>969</v>
      </c>
      <c r="L12" s="182">
        <v>4623</v>
      </c>
      <c r="M12" s="182">
        <v>233</v>
      </c>
      <c r="N12" s="182">
        <v>475</v>
      </c>
      <c r="O12" s="180">
        <v>606</v>
      </c>
      <c r="P12" s="182">
        <v>539</v>
      </c>
      <c r="Q12" s="182">
        <v>442</v>
      </c>
      <c r="R12" s="182">
        <v>5532</v>
      </c>
      <c r="S12" s="182">
        <v>5340</v>
      </c>
      <c r="T12" s="182">
        <v>2162</v>
      </c>
      <c r="U12" s="182">
        <v>1388</v>
      </c>
      <c r="V12" s="182">
        <v>6114</v>
      </c>
      <c r="W12" s="182">
        <v>593</v>
      </c>
      <c r="X12" s="188">
        <v>549</v>
      </c>
      <c r="Y12" s="190">
        <v>67</v>
      </c>
      <c r="Z12" s="180">
        <v>74</v>
      </c>
      <c r="AA12" s="180">
        <v>68</v>
      </c>
      <c r="AB12" s="180">
        <v>73</v>
      </c>
      <c r="AC12" s="182">
        <v>0</v>
      </c>
      <c r="AD12" s="182">
        <v>0</v>
      </c>
      <c r="AE12" s="182">
        <v>0</v>
      </c>
      <c r="AF12" s="188">
        <v>0</v>
      </c>
      <c r="AG12" s="201">
        <v>71</v>
      </c>
      <c r="AH12" s="182">
        <v>33</v>
      </c>
      <c r="AI12" s="182">
        <v>37</v>
      </c>
      <c r="AJ12" s="202">
        <v>67</v>
      </c>
      <c r="AK12" s="181">
        <v>0</v>
      </c>
      <c r="AL12" s="182">
        <v>0</v>
      </c>
      <c r="AM12" s="182">
        <v>0</v>
      </c>
      <c r="AN12" s="188">
        <v>0</v>
      </c>
      <c r="AO12" s="258">
        <v>4</v>
      </c>
      <c r="AP12" s="154">
        <v>4</v>
      </c>
      <c r="AQ12" s="154">
        <v>4</v>
      </c>
      <c r="AR12" s="153">
        <v>4</v>
      </c>
      <c r="AS12" s="339" t="s">
        <v>766</v>
      </c>
      <c r="AT12" s="202"/>
      <c r="AU12" s="201"/>
      <c r="AV12" s="202"/>
      <c r="AW12" s="201"/>
      <c r="AX12" s="202"/>
      <c r="AY12" s="126">
        <f t="shared" si="1"/>
        <v>5411</v>
      </c>
      <c r="AZ12" s="127">
        <f t="shared" si="1"/>
        <v>2195</v>
      </c>
      <c r="BA12" s="127">
        <f t="shared" si="1"/>
        <v>1425</v>
      </c>
      <c r="BB12" s="127">
        <f t="shared" si="1"/>
        <v>6181</v>
      </c>
      <c r="BC12" s="125">
        <f>IF(ISNUMBER(X12),X12," - ")</f>
        <v>549</v>
      </c>
      <c r="BD12" s="126">
        <f t="shared" si="2"/>
        <v>0.64920273348519364</v>
      </c>
      <c r="BE12" s="127">
        <f t="shared" si="3"/>
        <v>4.3375438596491227</v>
      </c>
      <c r="BF12" s="127">
        <f t="shared" si="4"/>
        <v>0.38526315789473686</v>
      </c>
      <c r="BG12" s="195">
        <f t="shared" si="5"/>
        <v>5.3375438596491227</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4505</v>
      </c>
      <c r="J13" s="183">
        <f t="shared" si="6"/>
        <v>1252</v>
      </c>
      <c r="K13" s="183">
        <f t="shared" si="6"/>
        <v>983</v>
      </c>
      <c r="L13" s="183">
        <f t="shared" si="6"/>
        <v>4774</v>
      </c>
      <c r="M13" s="183">
        <f t="shared" si="6"/>
        <v>237</v>
      </c>
      <c r="N13" s="183">
        <f t="shared" si="6"/>
        <v>480</v>
      </c>
      <c r="O13" s="183">
        <f t="shared" si="6"/>
        <v>608</v>
      </c>
      <c r="P13" s="183">
        <f t="shared" si="6"/>
        <v>541</v>
      </c>
      <c r="Q13" s="183">
        <f t="shared" si="6"/>
        <v>442</v>
      </c>
      <c r="R13" s="183">
        <f t="shared" si="6"/>
        <v>5606</v>
      </c>
      <c r="S13" s="183">
        <f t="shared" si="6"/>
        <v>5469</v>
      </c>
      <c r="T13" s="183">
        <f t="shared" si="6"/>
        <v>2179</v>
      </c>
      <c r="U13" s="183">
        <f t="shared" si="6"/>
        <v>1405</v>
      </c>
      <c r="V13" s="183">
        <f t="shared" si="6"/>
        <v>6243</v>
      </c>
      <c r="W13" s="183">
        <f t="shared" si="6"/>
        <v>597</v>
      </c>
      <c r="X13" s="183">
        <f t="shared" si="6"/>
        <v>558</v>
      </c>
      <c r="Y13" s="183">
        <f t="shared" si="6"/>
        <v>67</v>
      </c>
      <c r="Z13" s="183">
        <f t="shared" si="6"/>
        <v>74</v>
      </c>
      <c r="AA13" s="183">
        <f t="shared" si="6"/>
        <v>68</v>
      </c>
      <c r="AB13" s="183">
        <f t="shared" si="6"/>
        <v>73</v>
      </c>
      <c r="AC13" s="183">
        <f t="shared" si="6"/>
        <v>0</v>
      </c>
      <c r="AD13" s="183">
        <f t="shared" si="6"/>
        <v>0</v>
      </c>
      <c r="AE13" s="183">
        <f t="shared" si="6"/>
        <v>0</v>
      </c>
      <c r="AF13" s="183">
        <f>SUBTOTAL(9,AF9:AF12)</f>
        <v>0</v>
      </c>
      <c r="AG13" s="183">
        <f t="shared" ref="AG13:AT13" si="7">SUBTOTAL(9,AG8:AG12)</f>
        <v>71</v>
      </c>
      <c r="AH13" s="183">
        <f t="shared" si="7"/>
        <v>33</v>
      </c>
      <c r="AI13" s="183">
        <f t="shared" si="7"/>
        <v>37</v>
      </c>
      <c r="AJ13" s="183">
        <f t="shared" si="7"/>
        <v>67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5540</v>
      </c>
      <c r="AZ13" s="183">
        <f>SUBTOTAL(9,AZ8:AZ12)</f>
        <v>2212</v>
      </c>
      <c r="BA13" s="183">
        <f>SUBTOTAL(9,BA8:BA12)</f>
        <v>1442</v>
      </c>
      <c r="BB13" s="183">
        <f>SUBTOTAL(9,BB8:BB12)</f>
        <v>6310</v>
      </c>
      <c r="BC13" s="183">
        <f>SUBTOTAL(9,BC8:BC12)</f>
        <v>553</v>
      </c>
      <c r="BD13" s="204">
        <f>IF(ISNUMBER(BA13/AZ13),BA13/AZ13," - ")</f>
        <v>0.65189873417721522</v>
      </c>
      <c r="BE13" s="205">
        <f>IF(ISNUMBER(BB13/BA13),BB13/BA13, " - ")</f>
        <v>4.3758668515950072</v>
      </c>
      <c r="BF13" s="205">
        <f>IF(ISNUMBER(BC13/BA13),BC13/BA13, " - ")</f>
        <v>0.38349514563106796</v>
      </c>
      <c r="BG13" s="206">
        <f>IF(ISNUMBER((AY13+AZ13)/BA13),(AY13+AZ13)/BA13," - ")</f>
        <v>5.3758668515950072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2959</v>
      </c>
      <c r="J17" s="182">
        <v>948</v>
      </c>
      <c r="K17" s="182">
        <v>1115</v>
      </c>
      <c r="L17" s="182">
        <v>2792</v>
      </c>
      <c r="M17" s="182">
        <v>124</v>
      </c>
      <c r="N17" s="182">
        <v>746</v>
      </c>
      <c r="O17" s="180">
        <v>0</v>
      </c>
      <c r="P17" s="182">
        <v>6</v>
      </c>
      <c r="Q17" s="182">
        <v>5</v>
      </c>
      <c r="R17" s="182">
        <v>202</v>
      </c>
      <c r="S17" s="182">
        <v>2522</v>
      </c>
      <c r="T17" s="182">
        <v>1221</v>
      </c>
      <c r="U17" s="182">
        <v>1118</v>
      </c>
      <c r="V17" s="182">
        <v>2625</v>
      </c>
      <c r="W17" s="182">
        <v>115</v>
      </c>
      <c r="X17" s="188">
        <v>729</v>
      </c>
      <c r="Y17" s="201">
        <v>0</v>
      </c>
      <c r="Z17" s="182">
        <v>0</v>
      </c>
      <c r="AA17" s="182">
        <v>0</v>
      </c>
      <c r="AB17" s="182">
        <v>0</v>
      </c>
      <c r="AC17" s="182">
        <v>0</v>
      </c>
      <c r="AD17" s="182">
        <v>5</v>
      </c>
      <c r="AE17" s="182">
        <v>5</v>
      </c>
      <c r="AF17" s="188">
        <v>0</v>
      </c>
      <c r="AG17" s="201">
        <v>0</v>
      </c>
      <c r="AH17" s="182">
        <v>0</v>
      </c>
      <c r="AI17" s="182">
        <v>0</v>
      </c>
      <c r="AJ17" s="202">
        <v>0</v>
      </c>
      <c r="AK17" s="181">
        <v>0</v>
      </c>
      <c r="AL17" s="182">
        <v>2</v>
      </c>
      <c r="AM17" s="182">
        <v>2</v>
      </c>
      <c r="AN17" s="188">
        <v>0</v>
      </c>
      <c r="AO17" s="258">
        <v>4</v>
      </c>
      <c r="AP17" s="154">
        <v>4</v>
      </c>
      <c r="AQ17" s="154">
        <v>4</v>
      </c>
      <c r="AR17" s="154">
        <v>4</v>
      </c>
      <c r="AS17" s="339" t="s">
        <v>486</v>
      </c>
      <c r="AT17" s="202"/>
      <c r="AU17" s="201"/>
      <c r="AV17" s="202"/>
      <c r="AW17" s="201"/>
      <c r="AX17" s="202"/>
      <c r="AY17" s="126">
        <f t="shared" si="9"/>
        <v>2522</v>
      </c>
      <c r="AZ17" s="127">
        <f t="shared" si="9"/>
        <v>1221</v>
      </c>
      <c r="BA17" s="127">
        <f t="shared" si="9"/>
        <v>1118</v>
      </c>
      <c r="BB17" s="127">
        <f t="shared" si="9"/>
        <v>2625</v>
      </c>
      <c r="BC17" s="125">
        <f>IF(ISNUMBER(W17),W17," - ")</f>
        <v>115</v>
      </c>
      <c r="BD17" s="126">
        <f t="shared" ref="BD17" si="16">IF(ISNUMBER(BA17/AZ17),BA17/AZ17," - ")</f>
        <v>0.91564291564291567</v>
      </c>
      <c r="BE17" s="127">
        <f t="shared" ref="BE17" si="17">IF(ISNUMBER(BB17/BA17),BB17/BA17, " - ")</f>
        <v>2.3479427549194991</v>
      </c>
      <c r="BF17" s="127">
        <f t="shared" ref="BF17" si="18">IF(ISNUMBER(BC17/BA17),BC17/BA17, " - ")</f>
        <v>0.10286225402504472</v>
      </c>
      <c r="BG17" s="195">
        <f t="shared" si="10"/>
        <v>3.3479427549194991</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205</v>
      </c>
      <c r="J18" s="182">
        <v>163</v>
      </c>
      <c r="K18" s="182">
        <v>164</v>
      </c>
      <c r="L18" s="182">
        <v>209</v>
      </c>
      <c r="M18" s="182">
        <v>2</v>
      </c>
      <c r="N18" s="182">
        <v>51</v>
      </c>
      <c r="O18" s="182">
        <v>0</v>
      </c>
      <c r="P18" s="182">
        <v>0</v>
      </c>
      <c r="Q18" s="182">
        <v>0</v>
      </c>
      <c r="R18" s="182">
        <v>0</v>
      </c>
      <c r="S18" s="182">
        <v>141</v>
      </c>
      <c r="T18" s="182">
        <v>118</v>
      </c>
      <c r="U18" s="182">
        <v>102</v>
      </c>
      <c r="V18" s="182">
        <v>157</v>
      </c>
      <c r="W18" s="182">
        <v>4</v>
      </c>
      <c r="X18" s="188">
        <v>54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141</v>
      </c>
      <c r="AZ18" s="129">
        <f t="shared" si="19"/>
        <v>118</v>
      </c>
      <c r="BA18" s="129">
        <f t="shared" si="19"/>
        <v>102</v>
      </c>
      <c r="BB18" s="129">
        <f t="shared" si="19"/>
        <v>157</v>
      </c>
      <c r="BC18" s="125">
        <f>IF(ISNUMBER(W18),W18," - ")</f>
        <v>4</v>
      </c>
      <c r="BD18" s="126">
        <f>IF(ISNUMBER(BA18/AZ18),BA18/AZ18," - ")</f>
        <v>0.86440677966101698</v>
      </c>
      <c r="BE18" s="127">
        <f>IF(ISNUMBER(BB18/BA18),BB18/BA18, " - ")</f>
        <v>1.5392156862745099</v>
      </c>
      <c r="BF18" s="127">
        <f>IF(ISNUMBER(BC18/BA18),BC18/BA18, " - ")</f>
        <v>3.9215686274509803E-2</v>
      </c>
      <c r="BG18" s="195">
        <f>IF(ISNUMBER((AY18+AZ18)/BA18),(AY18+AZ18)/BA18," - ")</f>
        <v>2.5392156862745097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3164</v>
      </c>
      <c r="J19" s="183">
        <f t="shared" si="20"/>
        <v>1111</v>
      </c>
      <c r="K19" s="183">
        <f t="shared" si="20"/>
        <v>1279</v>
      </c>
      <c r="L19" s="183">
        <f t="shared" si="20"/>
        <v>3001</v>
      </c>
      <c r="M19" s="183">
        <f t="shared" si="20"/>
        <v>126</v>
      </c>
      <c r="N19" s="183">
        <f t="shared" si="20"/>
        <v>797</v>
      </c>
      <c r="O19" s="183">
        <f t="shared" si="20"/>
        <v>0</v>
      </c>
      <c r="P19" s="183">
        <f t="shared" si="20"/>
        <v>6</v>
      </c>
      <c r="Q19" s="183">
        <f t="shared" si="20"/>
        <v>5</v>
      </c>
      <c r="R19" s="183">
        <f t="shared" si="20"/>
        <v>202</v>
      </c>
      <c r="S19" s="183">
        <f t="shared" si="20"/>
        <v>2663</v>
      </c>
      <c r="T19" s="183">
        <f t="shared" si="20"/>
        <v>1339</v>
      </c>
      <c r="U19" s="183">
        <f t="shared" si="20"/>
        <v>1220</v>
      </c>
      <c r="V19" s="183">
        <f t="shared" si="20"/>
        <v>2782</v>
      </c>
      <c r="W19" s="183">
        <f t="shared" si="20"/>
        <v>119</v>
      </c>
      <c r="X19" s="183">
        <f t="shared" si="20"/>
        <v>783</v>
      </c>
      <c r="Y19" s="183">
        <f t="shared" si="20"/>
        <v>0</v>
      </c>
      <c r="Z19" s="183">
        <f t="shared" si="20"/>
        <v>0</v>
      </c>
      <c r="AA19" s="183">
        <f t="shared" si="20"/>
        <v>0</v>
      </c>
      <c r="AB19" s="183">
        <f t="shared" si="20"/>
        <v>0</v>
      </c>
      <c r="AC19" s="183">
        <f t="shared" si="20"/>
        <v>0</v>
      </c>
      <c r="AD19" s="183">
        <f t="shared" si="20"/>
        <v>5</v>
      </c>
      <c r="AE19" s="183">
        <f t="shared" si="20"/>
        <v>5</v>
      </c>
      <c r="AF19" s="183">
        <f t="shared" si="20"/>
        <v>0</v>
      </c>
      <c r="AG19" s="183">
        <f t="shared" si="20"/>
        <v>0</v>
      </c>
      <c r="AH19" s="183">
        <f t="shared" si="20"/>
        <v>0</v>
      </c>
      <c r="AI19" s="183">
        <f t="shared" si="20"/>
        <v>0</v>
      </c>
      <c r="AJ19" s="183">
        <f t="shared" si="20"/>
        <v>0</v>
      </c>
      <c r="AK19" s="183">
        <f t="shared" si="20"/>
        <v>0</v>
      </c>
      <c r="AL19" s="183">
        <f t="shared" si="20"/>
        <v>2</v>
      </c>
      <c r="AM19" s="183">
        <f t="shared" si="20"/>
        <v>2</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2663</v>
      </c>
      <c r="AZ19" s="183">
        <f>SUBTOTAL(9,AZ14:AZ18)</f>
        <v>1339</v>
      </c>
      <c r="BA19" s="183">
        <f>SUBTOTAL(9,BA14:BA18)</f>
        <v>1220</v>
      </c>
      <c r="BB19" s="183">
        <f>SUBTOTAL(9,BB14:BB18)</f>
        <v>2782</v>
      </c>
      <c r="BC19" s="183">
        <f>SUBTOTAL(9,BC14:BC18)</f>
        <v>119</v>
      </c>
      <c r="BD19" s="204">
        <f>IF(ISNUMBER(BA19/AZ19),BA19/AZ19," - ")</f>
        <v>0.9111277072442121</v>
      </c>
      <c r="BE19" s="205">
        <f>IF(ISNUMBER(BB19/BA19),BB19/BA19, " - ")</f>
        <v>2.2803278688524591</v>
      </c>
      <c r="BF19" s="205">
        <f>IF(ISNUMBER(BC19/BA19),BC19/BA19, " - ")</f>
        <v>9.7540983606557372E-2</v>
      </c>
      <c r="BG19" s="206">
        <f>IF(ISNUMBER((AY19+AZ19)/BA19),(AY19+AZ19)/BA19," - ")</f>
        <v>3.2803278688524591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7669</v>
      </c>
      <c r="J20" s="134">
        <f t="shared" si="23"/>
        <v>2363</v>
      </c>
      <c r="K20" s="134">
        <f t="shared" si="23"/>
        <v>2262</v>
      </c>
      <c r="L20" s="134">
        <f t="shared" si="23"/>
        <v>7775</v>
      </c>
      <c r="M20" s="134">
        <f t="shared" si="23"/>
        <v>363</v>
      </c>
      <c r="N20" s="134">
        <f t="shared" si="23"/>
        <v>1277</v>
      </c>
      <c r="O20" s="134">
        <f t="shared" si="23"/>
        <v>608</v>
      </c>
      <c r="P20" s="134">
        <f t="shared" si="23"/>
        <v>547</v>
      </c>
      <c r="Q20" s="134">
        <f t="shared" si="23"/>
        <v>447</v>
      </c>
      <c r="R20" s="134">
        <f t="shared" si="23"/>
        <v>5808</v>
      </c>
      <c r="S20" s="134">
        <f t="shared" si="23"/>
        <v>8132</v>
      </c>
      <c r="T20" s="134">
        <f t="shared" si="23"/>
        <v>3518</v>
      </c>
      <c r="U20" s="134">
        <f t="shared" si="23"/>
        <v>2625</v>
      </c>
      <c r="V20" s="134">
        <f t="shared" si="23"/>
        <v>9025</v>
      </c>
      <c r="W20" s="134">
        <f t="shared" si="23"/>
        <v>716</v>
      </c>
      <c r="X20" s="134">
        <f t="shared" si="23"/>
        <v>1341</v>
      </c>
      <c r="Y20" s="134">
        <f t="shared" si="23"/>
        <v>67</v>
      </c>
      <c r="Z20" s="134">
        <f t="shared" si="23"/>
        <v>74</v>
      </c>
      <c r="AA20" s="134">
        <f t="shared" si="23"/>
        <v>68</v>
      </c>
      <c r="AB20" s="134">
        <f t="shared" si="23"/>
        <v>73</v>
      </c>
      <c r="AC20" s="134">
        <f t="shared" si="23"/>
        <v>0</v>
      </c>
      <c r="AD20" s="134">
        <f t="shared" si="23"/>
        <v>5</v>
      </c>
      <c r="AE20" s="134">
        <f t="shared" si="23"/>
        <v>5</v>
      </c>
      <c r="AF20" s="134">
        <f t="shared" si="23"/>
        <v>0</v>
      </c>
      <c r="AG20" s="134">
        <f t="shared" si="23"/>
        <v>71</v>
      </c>
      <c r="AH20" s="134">
        <f t="shared" si="23"/>
        <v>33</v>
      </c>
      <c r="AI20" s="134">
        <f t="shared" si="23"/>
        <v>37</v>
      </c>
      <c r="AJ20" s="134">
        <f t="shared" si="23"/>
        <v>67</v>
      </c>
      <c r="AK20" s="134">
        <f t="shared" si="23"/>
        <v>0</v>
      </c>
      <c r="AL20" s="134">
        <f t="shared" si="23"/>
        <v>2</v>
      </c>
      <c r="AM20" s="134">
        <f t="shared" si="23"/>
        <v>2</v>
      </c>
      <c r="AN20" s="209">
        <f t="shared" si="23"/>
        <v>0</v>
      </c>
      <c r="AO20" s="210">
        <v>5</v>
      </c>
      <c r="AP20" s="210">
        <v>4</v>
      </c>
      <c r="AQ20" s="210">
        <v>4</v>
      </c>
      <c r="AR20" s="210">
        <v>4</v>
      </c>
      <c r="AS20" s="152">
        <f t="shared" si="23"/>
        <v>0</v>
      </c>
      <c r="AT20" s="152">
        <f t="shared" si="23"/>
        <v>0</v>
      </c>
      <c r="AU20" s="210"/>
      <c r="AV20" s="211"/>
      <c r="AW20" s="210"/>
      <c r="AX20" s="211"/>
      <c r="AY20" s="133">
        <f>SUBTOTAL(9,AY9:AY19)</f>
        <v>8203</v>
      </c>
      <c r="AZ20" s="134">
        <f>SUBTOTAL(9,AZ9:AZ19)</f>
        <v>3551</v>
      </c>
      <c r="BA20" s="134">
        <f>SUBTOTAL(9,BA9:BA19)</f>
        <v>2662</v>
      </c>
      <c r="BB20" s="134">
        <f>SUBTOTAL(9,BB9:BB19)</f>
        <v>9092</v>
      </c>
      <c r="BC20" s="135">
        <f>SUBTOTAL(9,BC9:BC19)</f>
        <v>672</v>
      </c>
      <c r="BD20" s="212">
        <f>IF(ISNUMBER(BA20/AZ20),BA20/AZ20," - ")</f>
        <v>0.74964798648268094</v>
      </c>
      <c r="BE20" s="209">
        <f>IF(ISNUMBER(BB20/BA20),BB20/BA20, " - ")</f>
        <v>3.4154770848985727</v>
      </c>
      <c r="BF20" s="209">
        <f>IF(ISNUMBER(BC20/BA20),BC20/BA20, " - ")</f>
        <v>0.25244177310293014</v>
      </c>
      <c r="BG20" s="135">
        <f>IF(ISNUMBER((AY20+AZ20)/BA20),(AY20+AZ20)/BA20," - ")</f>
        <v>4.4154770848985727</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3DBZGxolUmQ0FOBItwx8Aoa9i50lfVS+t3MlUoZmGwzZGsg9zqh/oE+SAWTSj5dtYY/A3qwkSyf3HAdvFbuwg==" saltValue="4xg7CeRx+AtKsn80eFqcu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hkSg2RrwtNPo9+OINkGIRjg3bEDuqXX1HvgOp8EaYpr2m7Q1u2NytirX254UxwfR0ioBdpyzz80oVA+gswsaw==" saltValue="flqb7aSjdkuHETpkhmLD9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SANTA COLOMA DE FARNERS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143</v>
      </c>
      <c r="G10" s="1246">
        <f>IF(ISNUMBER(Datos!I10),Datos!I10," - ")</f>
        <v>143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14</v>
      </c>
      <c r="AC10" s="1215">
        <f>IF(ISNUMBER(Datos!Q10),Datos!Q10," - ")</f>
        <v>0</v>
      </c>
      <c r="AD10" s="1247"/>
      <c r="AE10" s="1262"/>
      <c r="AF10" s="1245">
        <f>IF(ISNUMBER(Datos!L10),Datos!L10,"-")</f>
        <v>151</v>
      </c>
      <c r="AG10" s="1247"/>
      <c r="AH10" s="1247"/>
      <c r="AI10" s="1247"/>
      <c r="AJ10" s="1247"/>
      <c r="AK10" s="1247"/>
      <c r="AL10" s="1258"/>
      <c r="AM10" s="1248">
        <f>IF(ISNUMBER(Datos!R10),Datos!R10," - ")</f>
        <v>74</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4</v>
      </c>
      <c r="BD10" s="1218">
        <f>IF(ISNUMBER(Datos!N10),Datos!N10," - ")</f>
        <v>5</v>
      </c>
      <c r="BE10" s="1218" t="str">
        <f>IF(ISNUMBER(Datos!BW10),Datos!BW10," - ")</f>
        <v xml:space="preserve"> - </v>
      </c>
      <c r="BF10" s="1217" t="str">
        <f>IF(ISNUMBER(Datos!BX10),Datos!BX10," - ")</f>
        <v xml:space="preserve"> - </v>
      </c>
      <c r="BG10" s="1223">
        <f>IF(ISNUMBER(Datos!K10/Datos!J10),Datos!K10/Datos!J10," - ")</f>
        <v>0.63636363636363635</v>
      </c>
      <c r="BH10" s="1226">
        <f>IF(ISNUMBER(((Datos!L10/Datos!K10)*11)/factor_trimestre),((Datos!L10/Datos!K10)*11)/factor_trimestre," - ")</f>
        <v>32.357142857142861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2.7777777777777776E-2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74</v>
      </c>
      <c r="O12" s="1247"/>
      <c r="P12" s="1247"/>
      <c r="Q12" s="1215">
        <f>IF(ISNUMBER(Datos!P12),Datos!P12,0)</f>
        <v>539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442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73</v>
      </c>
      <c r="AI12" s="1247" t="str">
        <f>IF(ISNUMBER(Datos!CD12),Datos!CD12,"-")</f>
        <v>-</v>
      </c>
      <c r="AJ12" s="1247" t="str">
        <f>IF(ISNUMBER(Datos!EN12),Datos!EN12," - ")</f>
        <v xml:space="preserve"> - </v>
      </c>
      <c r="AK12" s="1247"/>
      <c r="AL12" s="1258"/>
      <c r="AM12" s="1248">
        <f>IF(ISNUMBER(Datos!R12),Datos!R12," - ")</f>
        <v>5532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233</v>
      </c>
      <c r="BD12" s="1218">
        <f>IF(ISNUMBER(Datos!N12),Datos!N12," - ")</f>
        <v>475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0.79524539877300615</v>
      </c>
      <c r="BH12" s="1226">
        <f>IF(ISNUMBER(((IF(J_V="SI",Datos!L12/Datos!K12,(Datos!L12+Datos!AB12)/(Datos!K12+Datos!AA12)))*11)/factor_trimestre),((IF(J_V="SI",Datos!L12/Datos!K12,(Datos!L12+Datos!AB12)/(Datos!K12+Datos!AA12)))*11)/factor_trimestre," - ")</f>
        <v>13.585342333654774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1.7847286108555658E-2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143</v>
      </c>
      <c r="G13" s="1391">
        <f t="shared" si="0"/>
        <v>143</v>
      </c>
      <c r="H13" s="1392">
        <f t="shared" si="0"/>
        <v>0</v>
      </c>
      <c r="I13" s="1391">
        <f t="shared" si="0"/>
        <v>0</v>
      </c>
      <c r="J13" s="1383">
        <f t="shared" si="0"/>
        <v>0</v>
      </c>
      <c r="K13" s="1383">
        <f t="shared" si="0"/>
        <v>0</v>
      </c>
      <c r="L13" s="1392">
        <f t="shared" si="0"/>
        <v>0</v>
      </c>
      <c r="M13" s="1392">
        <f t="shared" si="0"/>
        <v>0</v>
      </c>
      <c r="N13" s="1392">
        <f t="shared" si="0"/>
        <v>74</v>
      </c>
      <c r="O13" s="1393">
        <f t="shared" si="0"/>
        <v>0</v>
      </c>
      <c r="P13" s="1393">
        <f t="shared" si="0"/>
        <v>0</v>
      </c>
      <c r="Q13" s="1392">
        <f t="shared" si="0"/>
        <v>541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14</v>
      </c>
      <c r="AC13" s="1392">
        <f t="shared" si="1"/>
        <v>442</v>
      </c>
      <c r="AD13" s="1392">
        <f t="shared" si="1"/>
        <v>0</v>
      </c>
      <c r="AE13" s="1392">
        <f t="shared" si="1"/>
        <v>0</v>
      </c>
      <c r="AF13" s="1392">
        <f t="shared" si="1"/>
        <v>151</v>
      </c>
      <c r="AG13" s="1392">
        <f t="shared" si="1"/>
        <v>0</v>
      </c>
      <c r="AH13" s="1392">
        <f t="shared" si="1"/>
        <v>73</v>
      </c>
      <c r="AI13" s="1392">
        <f t="shared" si="1"/>
        <v>0</v>
      </c>
      <c r="AJ13" s="1392">
        <f t="shared" si="1"/>
        <v>0</v>
      </c>
      <c r="AK13" s="1392">
        <f t="shared" si="1"/>
        <v>0</v>
      </c>
      <c r="AL13" s="1392">
        <f t="shared" si="1"/>
        <v>0</v>
      </c>
      <c r="AM13" s="1392">
        <f t="shared" si="1"/>
        <v>5606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237</v>
      </c>
      <c r="BD13" s="1392">
        <f t="shared" si="1"/>
        <v>480</v>
      </c>
      <c r="BE13" s="1392">
        <f t="shared" si="1"/>
        <v>0</v>
      </c>
      <c r="BF13" s="1392">
        <f t="shared" si="1"/>
        <v>0</v>
      </c>
      <c r="BG13" s="1392">
        <f>IF(ISNUMBER(Datos!K13/Datos!J13),Datos!K13/Datos!J13," - ")</f>
        <v>0.78514376996805113</v>
      </c>
      <c r="BH13" s="1396">
        <f>IF(ISNUMBER(((Datos!L13/Datos!K13)*11)/factor_trimestre),((Datos!L13/Datos!K13)*11)/factor_trimestre," - ")</f>
        <v>14.569684638860631</v>
      </c>
      <c r="BI13" s="1392">
        <f>IF(ISNUMBER('Resol  Asuntos'!D13/NºAsuntos!G13),'Resol  Asuntos'!D13/NºAsuntos!G13," - ")</f>
        <v>0.22549952426260705</v>
      </c>
      <c r="BJ13" s="1392" t="str">
        <f>IF(ISNUMBER(Datos!CI13/Datos!CJ13),Datos!CI13/Datos!CJ13," - ")</f>
        <v xml:space="preserve"> - </v>
      </c>
      <c r="BK13" s="1392">
        <f>SUBTOTAL(9,BK8:BK12)</f>
        <v>0</v>
      </c>
      <c r="BL13" s="1392">
        <f>IF(ISNUMBER((I13-AB13+L13)/(F13)),(I13-AB13+L13)/(F13)," - ")</f>
        <v>-9.7902097902097904E-2</v>
      </c>
      <c r="BM13" s="1397">
        <f>SUBTOTAL(9,BM9:BM12)</f>
        <v>4.5625063886333431E-2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2959</v>
      </c>
      <c r="G17" s="1335">
        <f>IF(ISNUMBER(IF(D_I="SI",Datos!I17,Datos!I17+Datos!AC17)),IF(D_I="SI",Datos!I17,Datos!I17+Datos!AC17)," - ")</f>
        <v>2959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1115</v>
      </c>
      <c r="AC17" s="1215">
        <f>IF(ISNUMBER(Datos!Q17),Datos!Q17," - ")</f>
        <v>5</v>
      </c>
      <c r="AD17" s="1247"/>
      <c r="AE17" s="1262"/>
      <c r="AF17" s="1333">
        <f>IF(ISNUMBER(IF(D_I="SI",Datos!L17,Datos!L17+Datos!AF17)),IF(D_I="SI",Datos!L17,Datos!L17+Datos!AF17)," - ")</f>
        <v>2792</v>
      </c>
      <c r="AG17" s="1247"/>
      <c r="AH17" s="1247"/>
      <c r="AI17" s="1247"/>
      <c r="AJ17" s="1247"/>
      <c r="AK17" s="1247"/>
      <c r="AL17" s="1258"/>
      <c r="AM17" s="1248">
        <f>IF(ISNUMBER(Datos!R17),Datos!R17," - ")</f>
        <v>202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124</v>
      </c>
      <c r="BD17" s="1218">
        <f>IF(ISNUMBER(Datos!N17),Datos!N17," - ")</f>
        <v>746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1.1761603375527425</v>
      </c>
      <c r="BH17" s="1226">
        <f>IF(ISNUMBER(((IF(D_I="SI",Datos!L17/Datos!K17,(Datos!L17+Datos!AF17)/(Datos!K17+Datos!AE17)))*11)/factor_trimestre),((IF(D_I="SI",Datos!L17/Datos!K17,(Datos!L17+Datos!AF17)/(Datos!K17+Datos!AE17)))*11)/factor_trimestre," - ")</f>
        <v>7.5121076233183857</v>
      </c>
      <c r="BI17" s="1223">
        <f>IF(ISNUMBER('Resol  Asuntos'!D17/NºAsuntos!G17),'Resol  Asuntos'!D17/NºAsuntos!G17," - ")</f>
        <v>0.11121076233183856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205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164</v>
      </c>
      <c r="AC18" s="1215">
        <f>IF(ISNUMBER(Datos!Q18),Datos!Q18," - ")</f>
        <v>0</v>
      </c>
      <c r="AD18" s="1247"/>
      <c r="AE18" s="1262"/>
      <c r="AF18" s="1245">
        <f>IF(ISNUMBER(Datos!L18),Datos!L18,"-")</f>
        <v>209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51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1.0061349693251533</v>
      </c>
      <c r="BH18" s="1226">
        <f>IF(ISNUMBER(((IF(D_I="SI",Datos!L18/Datos!K18,(Datos!L18+Datos!AF18)/(Datos!K18+Datos!AE18)))*11)/factor_trimestre),((IF(D_I="SI",Datos!L18/Datos!K18,(Datos!L18+Datos!AF18)/(Datos!K18+Datos!AE18)))*11)/factor_trimestre," - ")</f>
        <v>3.8231707317073176</v>
      </c>
      <c r="BI18" s="1223">
        <f>IF(ISNUMBER('Resol  Asuntos'!D18/NºAsuntos!G18),'Resol  Asuntos'!D18/NºAsuntos!G18," - ")</f>
        <v>1.2195121951219513E-2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2959</v>
      </c>
      <c r="G19" s="1391">
        <f>SUBTOTAL(9,G15:G18)</f>
        <v>3164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1279</v>
      </c>
      <c r="AC19" s="1392">
        <f t="shared" si="4"/>
        <v>5</v>
      </c>
      <c r="AD19" s="1392">
        <f t="shared" si="4"/>
        <v>0</v>
      </c>
      <c r="AE19" s="1392">
        <f t="shared" si="4"/>
        <v>0</v>
      </c>
      <c r="AF19" s="1392">
        <f t="shared" si="4"/>
        <v>3001</v>
      </c>
      <c r="AG19" s="1392">
        <f t="shared" si="4"/>
        <v>0</v>
      </c>
      <c r="AH19" s="1392">
        <f t="shared" si="4"/>
        <v>0</v>
      </c>
      <c r="AI19" s="1392">
        <f t="shared" si="4"/>
        <v>0</v>
      </c>
      <c r="AJ19" s="1392">
        <f t="shared" si="4"/>
        <v>0</v>
      </c>
      <c r="AK19" s="1392">
        <f t="shared" si="4"/>
        <v>0</v>
      </c>
      <c r="AL19" s="1392">
        <f t="shared" si="4"/>
        <v>0</v>
      </c>
      <c r="AM19" s="1392">
        <f t="shared" si="4"/>
        <v>202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126</v>
      </c>
      <c r="BD19" s="1392">
        <f t="shared" si="4"/>
        <v>797</v>
      </c>
      <c r="BE19" s="1392">
        <f t="shared" si="4"/>
        <v>0</v>
      </c>
      <c r="BF19" s="1392">
        <f t="shared" si="4"/>
        <v>0</v>
      </c>
      <c r="BG19" s="1392">
        <f>IF(ISNUMBER(Datos!K19/Datos!J19),Datos!K19/Datos!J19," - ")</f>
        <v>1.1512151215121511</v>
      </c>
      <c r="BH19" s="1396">
        <f>IF(ISNUMBER(((Datos!L19/Datos!K19)*11)/factor_trimestre),((Datos!L19/Datos!K19)*11)/factor_trimestre," - ")</f>
        <v>7.0390930414386252</v>
      </c>
      <c r="BI19" s="1392">
        <f>SUBTOTAL(9,BI15:BI18)</f>
        <v>0.12340588428305807</v>
      </c>
      <c r="BJ19" s="1392">
        <f>SUBTOTAL(9,BJ15:BJ18)</f>
        <v>0</v>
      </c>
      <c r="BK19" s="1392">
        <f>SUBTOTAL(9,BK15:BK18)</f>
        <v>0</v>
      </c>
      <c r="BL19" s="1392">
        <f>IF(ISNUMBER((I19-AB19+L19)/(F19)),(I19-AB19+L19)/(F19)," - ")</f>
        <v>-0.43224062183169992</v>
      </c>
      <c r="BM19" s="1398">
        <f>IF(ISNUMBER((Datos!P19-Datos!Q19)/(Datos!R19-Datos!P19+Datos!Q19)),(Datos!P19-Datos!Q19)/(Datos!R19-Datos!P19+Datos!Q19)," - ")</f>
        <v>4.9751243781094526E-3</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3102</v>
      </c>
      <c r="G20" s="1367">
        <f t="shared" si="6"/>
        <v>3307</v>
      </c>
      <c r="H20" s="1369">
        <f t="shared" si="6"/>
        <v>0</v>
      </c>
      <c r="I20" s="1367">
        <f t="shared" si="6"/>
        <v>0</v>
      </c>
      <c r="J20" s="1369">
        <f t="shared" si="6"/>
        <v>0</v>
      </c>
      <c r="K20" s="1369">
        <f t="shared" si="6"/>
        <v>0</v>
      </c>
      <c r="L20" s="1386">
        <f t="shared" si="6"/>
        <v>0</v>
      </c>
      <c r="M20" s="1386">
        <f t="shared" si="6"/>
        <v>0</v>
      </c>
      <c r="N20" s="1386">
        <f t="shared" si="6"/>
        <v>74</v>
      </c>
      <c r="O20" s="1386">
        <f t="shared" si="6"/>
        <v>0</v>
      </c>
      <c r="P20" s="1386">
        <f t="shared" si="6"/>
        <v>0</v>
      </c>
      <c r="Q20" s="1369">
        <f t="shared" si="6"/>
        <v>547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1293</v>
      </c>
      <c r="AC20" s="1368">
        <f t="shared" si="7"/>
        <v>447</v>
      </c>
      <c r="AD20" s="1368">
        <f t="shared" si="7"/>
        <v>0</v>
      </c>
      <c r="AE20" s="1368">
        <f t="shared" si="7"/>
        <v>0</v>
      </c>
      <c r="AF20" s="1371">
        <f t="shared" si="7"/>
        <v>3152</v>
      </c>
      <c r="AG20" s="1371">
        <f t="shared" si="7"/>
        <v>0</v>
      </c>
      <c r="AH20" s="1371">
        <f t="shared" si="7"/>
        <v>73</v>
      </c>
      <c r="AI20" s="1371">
        <f t="shared" si="7"/>
        <v>0</v>
      </c>
      <c r="AJ20" s="1368">
        <f t="shared" si="7"/>
        <v>0</v>
      </c>
      <c r="AK20" s="1371">
        <f t="shared" si="7"/>
        <v>0</v>
      </c>
      <c r="AL20" s="1371">
        <f t="shared" si="7"/>
        <v>0</v>
      </c>
      <c r="AM20" s="1371">
        <f t="shared" si="7"/>
        <v>5808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363</v>
      </c>
      <c r="BD20" s="1367">
        <f t="shared" si="7"/>
        <v>1277</v>
      </c>
      <c r="BE20" s="1367">
        <f t="shared" si="7"/>
        <v>0</v>
      </c>
      <c r="BF20" s="1373">
        <f t="shared" si="7"/>
        <v>0</v>
      </c>
      <c r="BG20" s="1404">
        <f>IF(ISNUMBER(Datos!K20/Datos!J20),Datos!K20/Datos!J20," - ")</f>
        <v>0.95725772323317815</v>
      </c>
      <c r="BH20" s="1404">
        <f>IF(ISNUMBER(((Datos!L20/Datos!K20)*11)/factor_trimestre),((Datos!L20/Datos!K20)*11)/factor_trimestre," - ")</f>
        <v>10.311671087533158</v>
      </c>
      <c r="BI20" s="1362">
        <f>IF(ISNUMBER(Datos!J20/Datos!I20),Datos!J20/Datos!I20," - ")</f>
        <v>0.30812361455209286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-0.41682785299806574</v>
      </c>
      <c r="BM20" s="1387">
        <f>IF(ISNUMBER((Datos!P20-Datos!Q20+R20)/(Datos!R20-Datos!P20+Datos!Q20-R20)),(Datos!P20-Datos!Q20+R20)/(Datos!R20-Datos!P20+Datos!Q20-R20)," - ")</f>
        <v>1.751927119831815E-2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1322.8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1625.8183580379862</v>
      </c>
      <c r="G22" s="1299">
        <f>IF(ISNUMBER(STDEV(G8:G19)),STDEV(G8:G19),"-")</f>
        <v>1589.0642529488857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626.27366222762396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103.8113673929787</v>
      </c>
      <c r="BD22" s="1298"/>
      <c r="BE22" s="1298">
        <f>IF(ISNUMBER(STDEV(BE8:BE19)),STDEV(BE8:BE19),"-")</f>
        <v>0</v>
      </c>
      <c r="BF22" s="1303">
        <f>IF(ISNUMBER(STDEV(BF8:BF19)),STDEV(BF8:BF19),"-")</f>
        <v>0</v>
      </c>
      <c r="BG22" s="1360">
        <f>IF(ISNUMBER(STDEV(BG8:BG19)),STDEV(BG8:BG19),"-")</f>
        <v>0.21933747517953339</v>
      </c>
      <c r="BH22" s="1361">
        <f>IF(ISNUMBER(STDEV(BH8:BH19)),STDEV(BH8:BH19),"-")</f>
        <v>10.268769083715307</v>
      </c>
      <c r="BI22" s="1224">
        <f>IF(ISNUMBER(STDEV(BI8:BI19)),STDEV(BI8:BI19),"-")</f>
        <v>8.7227887442022534E-2</v>
      </c>
      <c r="BJ22" s="1219" t="str">
        <f>IF(ISNUMBER(BL22/BM22),BL22/BM22," - ")</f>
        <v xml:space="preserve"> - </v>
      </c>
      <c r="BK22" s="1320"/>
      <c r="BL22" s="1306">
        <f>IF(ISNUMBER(STDEV(BL8:BL19)),STDEV(BL8:BL19),"-")</f>
        <v>0.23641303748252243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p2x7SqCPVQSk6pe9k0u8XZpHNPvYKO3pIBIoYj9N/feMfaA/ScHefGDF9StmtoJke9WkqzE6PtLxgV3qIlzAg==" saltValue="v3J0bSMoT3lyZRQ5kIVXW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SANTA COLOMA DE FARNERS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143</v>
      </c>
      <c r="G10" s="224">
        <f>IF(ISNUMBER(Datos!I10),Datos!I10," - ")</f>
        <v>143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14</v>
      </c>
      <c r="Z10" s="617">
        <f>IF(ISNUMBER(Datos!Q10),Datos!Q10," - ")</f>
        <v>0</v>
      </c>
      <c r="AA10" s="331">
        <f>IF(ISNUMBER(Datos!L10),Datos!L10,"-")</f>
        <v>151</v>
      </c>
      <c r="AB10" s="333"/>
      <c r="AC10" s="333"/>
      <c r="AD10" s="483"/>
      <c r="AE10" s="483">
        <f>IF(ISNUMBER(Datos!R10),Datos!R10," - ")</f>
        <v>74</v>
      </c>
      <c r="AF10" s="228" t="str">
        <f>IF(ISNUMBER(Datos!BV10),Datos!BV10," - ")</f>
        <v xml:space="preserve"> - </v>
      </c>
      <c r="AG10" s="224" t="str">
        <f>IF(ISNUMBER(Datos!DV10),Datos!DV10," - ")</f>
        <v xml:space="preserve"> - </v>
      </c>
      <c r="AH10" s="297"/>
      <c r="AI10" s="226"/>
      <c r="AJ10" s="224">
        <f>IF(ISNUMBER(Datos!M10),Datos!M10," - ")</f>
        <v>4</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32.357142857142861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2.7777777777777776E-2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442</v>
      </c>
      <c r="AA12" s="331" t="str">
        <f>IF(ISNUMBER(IF(J_V="SI",Datos!L12,Datos!L12+Datos!AB12)-IF(Monitorios="SI",Datos!CD12,0)),
                          IF(J_V="SI",Datos!L12,Datos!L12+Datos!AB12)-IF(Monitorios="SI",Datos!CD12,0),
                          " - ")</f>
        <v xml:space="preserve"> - </v>
      </c>
      <c r="AB12" s="333"/>
      <c r="AC12" s="333"/>
      <c r="AD12" s="483"/>
      <c r="AE12" s="483">
        <f>IF(ISNUMBER(Datos!R12),Datos!R12," - ")</f>
        <v>5532</v>
      </c>
      <c r="AF12" s="228" t="str">
        <f>IF(ISNUMBER(Datos!BV12),Datos!BV12," - ")</f>
        <v xml:space="preserve"> - </v>
      </c>
      <c r="AG12" s="224" t="str">
        <f>IF(ISNUMBER(Datos!DV12),Datos!DV12," - ")</f>
        <v xml:space="preserve"> - </v>
      </c>
      <c r="AH12" s="297"/>
      <c r="AI12" s="226"/>
      <c r="AJ12" s="224">
        <f>IF(ISNUMBER(Datos!M12),Datos!M12," - ")</f>
        <v>233</v>
      </c>
      <c r="AK12" s="228">
        <f>IF(ISNUMBER(Datos!N12),Datos!N12," - ")</f>
        <v>475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13.585342333654774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1.7847286108555658E-2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143</v>
      </c>
      <c r="G13" s="895">
        <f>SUBTOTAL(9,G8:G12)</f>
        <v>143</v>
      </c>
      <c r="H13" s="905"/>
      <c r="I13" s="895">
        <f t="shared" ref="I13:N13" si="0">SUBTOTAL(9,I8:I12)</f>
        <v>0</v>
      </c>
      <c r="J13" s="864">
        <f t="shared" si="0"/>
        <v>0</v>
      </c>
      <c r="K13" s="905">
        <f t="shared" si="0"/>
        <v>0</v>
      </c>
      <c r="L13" s="905">
        <f t="shared" si="0"/>
        <v>0</v>
      </c>
      <c r="M13" s="905">
        <f t="shared" si="0"/>
        <v>0</v>
      </c>
      <c r="N13" s="905">
        <f t="shared" si="0"/>
        <v>541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14</v>
      </c>
      <c r="Z13" s="904">
        <f t="shared" si="2"/>
        <v>442</v>
      </c>
      <c r="AA13" s="897">
        <f t="shared" si="2"/>
        <v>151</v>
      </c>
      <c r="AB13" s="897">
        <f t="shared" si="2"/>
        <v>0</v>
      </c>
      <c r="AC13" s="897">
        <f t="shared" si="2"/>
        <v>0</v>
      </c>
      <c r="AD13" s="897">
        <f t="shared" si="2"/>
        <v>0</v>
      </c>
      <c r="AE13" s="897">
        <f t="shared" si="2"/>
        <v>5606</v>
      </c>
      <c r="AF13" s="905">
        <f t="shared" si="2"/>
        <v>0</v>
      </c>
      <c r="AG13" s="905">
        <f t="shared" si="2"/>
        <v>0</v>
      </c>
      <c r="AH13" s="905">
        <f t="shared" si="2"/>
        <v>0</v>
      </c>
      <c r="AI13" s="905">
        <f t="shared" si="2"/>
        <v>0</v>
      </c>
      <c r="AJ13" s="905">
        <f t="shared" si="2"/>
        <v>237</v>
      </c>
      <c r="AK13" s="905">
        <f t="shared" si="2"/>
        <v>480</v>
      </c>
      <c r="AL13" s="905">
        <f t="shared" si="2"/>
        <v>0</v>
      </c>
      <c r="AM13" s="905">
        <f t="shared" si="2"/>
        <v>0</v>
      </c>
      <c r="AN13" s="905">
        <f t="shared" si="2"/>
        <v>0</v>
      </c>
      <c r="AO13" s="901">
        <f>IF(ISNUMBER(((NºAsuntos!I13/NºAsuntos!G13)*11)/factor_trimestre),((NºAsuntos!I13/NºAsuntos!G13)*11)/factor_trimestre," - ")</f>
        <v>13.835394862036155</v>
      </c>
      <c r="AP13" s="907" t="str">
        <f>IF(ISNUMBER(Datos!CI13/Datos!CJ13),Datos!CI13/Datos!CJ13," - ")</f>
        <v xml:space="preserve"> - </v>
      </c>
      <c r="AQ13" s="923">
        <f t="shared" ref="AQ13:AV13" si="3">SUBTOTAL(9,AQ9:AQ12)</f>
        <v>0</v>
      </c>
      <c r="AR13" s="923">
        <f t="shared" si="3"/>
        <v>4.5625063886333431E-2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2959</v>
      </c>
      <c r="G17" s="224">
        <f>IF(ISNUMBER(IF(D_I="SI",Datos!I17,Datos!I17+Datos!AC17)),IF(D_I="SI",Datos!I17,Datos!I17+Datos!AC17)," - ")</f>
        <v>2959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1115</v>
      </c>
      <c r="Z17" s="617">
        <f>IF(ISNUMBER(Datos!Q17),Datos!Q17," - ")</f>
        <v>5</v>
      </c>
      <c r="AA17" s="331">
        <f>IF(ISNUMBER(IF(D_I="SI",Datos!L17,Datos!L17+Datos!AF17)),IF(D_I="SI",Datos!L17,Datos!L17+Datos!AF17)," - ")</f>
        <v>2792</v>
      </c>
      <c r="AB17" s="333"/>
      <c r="AC17" s="333"/>
      <c r="AD17" s="483"/>
      <c r="AE17" s="483">
        <f>IF(ISNUMBER(Datos!R17),Datos!R17," - ")</f>
        <v>202</v>
      </c>
      <c r="AF17" s="228" t="str">
        <f>IF(ISNUMBER(Datos!BV17),Datos!BV17," - ")</f>
        <v xml:space="preserve"> - </v>
      </c>
      <c r="AG17" s="224"/>
      <c r="AH17" s="297"/>
      <c r="AI17" s="226"/>
      <c r="AJ17" s="224">
        <f>IF(ISNUMBER(Datos!M17),Datos!M17," - ")</f>
        <v>124</v>
      </c>
      <c r="AK17" s="228">
        <f>IF(ISNUMBER(Datos!N17),Datos!N17," - ")</f>
        <v>746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7.5121076233183857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205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164</v>
      </c>
      <c r="Z18" s="617">
        <f>IF(ISNUMBER(Datos!Q18),Datos!Q18," - ")</f>
        <v>0</v>
      </c>
      <c r="AA18" s="331">
        <f>IF(ISNUMBER(Datos!L18),Datos!L18,"-")</f>
        <v>209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2</v>
      </c>
      <c r="AK18" s="228">
        <f>IF(ISNUMBER(Datos!N18),Datos!N18," - ")</f>
        <v>51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3.8231707317073176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2959</v>
      </c>
      <c r="G19" s="895">
        <f>SUBTOTAL(9,G15:G18)</f>
        <v>3164</v>
      </c>
      <c r="H19" s="927">
        <f>SUBTOTAL(9,H15:H18)</f>
        <v>0</v>
      </c>
      <c r="I19" s="908">
        <f>SUBTOTAL(9,I15:I18)</f>
        <v>0</v>
      </c>
      <c r="J19" s="864">
        <f>SUBTOTAL(9,J14:J18)</f>
        <v>0</v>
      </c>
      <c r="K19" s="927">
        <f t="shared" ref="K19:S19" si="4">SUBTOTAL(9,K15:K18)</f>
        <v>0</v>
      </c>
      <c r="L19" s="927">
        <f t="shared" si="4"/>
        <v>0</v>
      </c>
      <c r="M19" s="927">
        <f t="shared" si="4"/>
        <v>0</v>
      </c>
      <c r="N19" s="927">
        <f t="shared" si="4"/>
        <v>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1279</v>
      </c>
      <c r="Z19" s="927">
        <f t="shared" si="5"/>
        <v>5</v>
      </c>
      <c r="AA19" s="927">
        <f t="shared" si="5"/>
        <v>3001</v>
      </c>
      <c r="AB19" s="927">
        <f t="shared" si="5"/>
        <v>0</v>
      </c>
      <c r="AC19" s="927">
        <f t="shared" si="5"/>
        <v>0</v>
      </c>
      <c r="AD19" s="927">
        <f t="shared" si="5"/>
        <v>0</v>
      </c>
      <c r="AE19" s="927">
        <f t="shared" si="5"/>
        <v>202</v>
      </c>
      <c r="AF19" s="927">
        <f t="shared" si="5"/>
        <v>0</v>
      </c>
      <c r="AG19" s="927">
        <f t="shared" si="5"/>
        <v>0</v>
      </c>
      <c r="AH19" s="927">
        <f t="shared" si="5"/>
        <v>0</v>
      </c>
      <c r="AI19" s="927">
        <f t="shared" si="5"/>
        <v>0</v>
      </c>
      <c r="AJ19" s="927">
        <f t="shared" si="5"/>
        <v>126</v>
      </c>
      <c r="AK19" s="927">
        <f t="shared" si="5"/>
        <v>797</v>
      </c>
      <c r="AL19" s="927">
        <f t="shared" si="5"/>
        <v>0</v>
      </c>
      <c r="AM19" s="927">
        <f t="shared" si="5"/>
        <v>0</v>
      </c>
      <c r="AN19" s="927">
        <f t="shared" si="5"/>
        <v>0</v>
      </c>
      <c r="AO19" s="929">
        <f>IF(ISNUMBER(((NºAsuntos!I19/NºAsuntos!G19)*11)/factor_trimestre),((NºAsuntos!I19/NºAsuntos!G19)*11)/factor_trimestre," - ")</f>
        <v>7.0390930414386252</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3102</v>
      </c>
      <c r="G20" s="817">
        <f t="shared" si="7"/>
        <v>3307</v>
      </c>
      <c r="H20" s="818">
        <f t="shared" si="7"/>
        <v>0</v>
      </c>
      <c r="I20" s="817">
        <f t="shared" si="7"/>
        <v>0</v>
      </c>
      <c r="J20" s="819">
        <f t="shared" si="7"/>
        <v>0</v>
      </c>
      <c r="K20" s="817">
        <f t="shared" si="7"/>
        <v>0</v>
      </c>
      <c r="L20" s="820">
        <f t="shared" si="7"/>
        <v>0</v>
      </c>
      <c r="M20" s="817">
        <f t="shared" si="7"/>
        <v>0</v>
      </c>
      <c r="N20" s="818">
        <f t="shared" si="7"/>
        <v>547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1293</v>
      </c>
      <c r="Z20" s="824">
        <f t="shared" si="8"/>
        <v>447</v>
      </c>
      <c r="AA20" s="825">
        <f t="shared" si="8"/>
        <v>3152</v>
      </c>
      <c r="AB20" s="825">
        <f t="shared" si="8"/>
        <v>0</v>
      </c>
      <c r="AC20" s="825">
        <f t="shared" si="8"/>
        <v>0</v>
      </c>
      <c r="AD20" s="826">
        <f t="shared" si="8"/>
        <v>0</v>
      </c>
      <c r="AE20" s="826">
        <f t="shared" si="8"/>
        <v>5808</v>
      </c>
      <c r="AF20" s="827">
        <f t="shared" si="8"/>
        <v>0</v>
      </c>
      <c r="AG20" s="828">
        <f t="shared" si="8"/>
        <v>0</v>
      </c>
      <c r="AH20" s="829">
        <f t="shared" si="8"/>
        <v>0</v>
      </c>
      <c r="AI20" s="827">
        <f t="shared" si="8"/>
        <v>0</v>
      </c>
      <c r="AJ20" s="817">
        <f t="shared" si="8"/>
        <v>363</v>
      </c>
      <c r="AK20" s="817">
        <f t="shared" si="8"/>
        <v>1277</v>
      </c>
      <c r="AL20" s="817">
        <f t="shared" si="8"/>
        <v>0</v>
      </c>
      <c r="AM20" s="830">
        <f t="shared" si="8"/>
        <v>0</v>
      </c>
      <c r="AN20" s="820">
        <f>IF(ISNUMBER(Datos!K20/Datos!J20),Datos!K20/Datos!J20," - ")</f>
        <v>0.95725772323317815</v>
      </c>
      <c r="AO20" s="820">
        <f>IF(ISNUMBER(FIND("06",Criterios!A8,1)),(IF(ISNUMBER(((Datos!R20/Datos!Q20)*11)/factor_trimestre),((Datos!R20/Datos!Q20)*11)/factor_trimestre," - ")),(IF(ISNUMBER(((Datos!L20/Datos!K20)*11)/factor_trimestre),((Datos!L20/Datos!K20)*11)/factor_trimestre," - ")))</f>
        <v>10.311671087533158</v>
      </c>
      <c r="AP20" s="831" t="str">
        <f>IF(ISNUMBER(Datos!CI20/Datos!CJ20),Datos!CI20/Datos!CJ20," - ")</f>
        <v xml:space="preserve"> - </v>
      </c>
      <c r="AQ20" s="831">
        <f>IF(OR(ISNUMBER(FIND("01",Criterios!A8,1)),ISNUMBER(FIND("02",Criterios!A8,1)),ISNUMBER(FIND("03",Criterios!A8,1)),ISNUMBER(FIND("04",Criterios!A8,1))),(J20-Y20+K20)/(F20-K20),(I20-Y20+K20)/(F20-K20))</f>
        <v>-0.41682785299806574</v>
      </c>
      <c r="AR20" s="831">
        <f>IF(ISNUMBER((Datos!P20-Datos!Q20+O20)/(Datos!R20-Datos!P20+Datos!Q20-O20)),(Datos!P20-Datos!Q20+O20)/(Datos!R20-Datos!P20+Datos!Q20-O20)," - ")</f>
        <v>1.751927119831815E-2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1322.8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1625.8183580379862</v>
      </c>
      <c r="G22" s="551">
        <f>IF(ISNUMBER(STDEV(G8:G19)),STDEV(G8:G19),"-")</f>
        <v>1589.0642529488857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103.8113673929787</v>
      </c>
      <c r="AK22" s="251"/>
      <c r="AL22" s="251">
        <f>IF(ISNUMBER(STDEV(AL8:AL19)),STDEV(AL8:AL19),"-")</f>
        <v>0</v>
      </c>
      <c r="AM22" s="253">
        <f>IF(ISNUMBER(STDEV(AM8:AM19)),STDEV(AM8:AM19),"-")</f>
        <v>0</v>
      </c>
      <c r="AN22" s="538">
        <f>IF(ISNUMBER(STDEV(AN8:AN19)),STDEV(AN8:AN19),"-")</f>
        <v>0</v>
      </c>
      <c r="AO22" s="539">
        <f>IF(ISNUMBER(STDEV(AO8:AO19)),STDEV(AO8:AO19),"-")</f>
        <v>10.25279665577815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PKgMqiZX3DtnNx4aCDXamaoesTfrQ8nLDk0uqmyuTM0cR5An7OMF7YLX72bn4OzPnsjU//4cxD+gKFiprBrecg==" saltValue="4u+zuDQGM86MpYcskDYv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c46gz+S8kz8cT7XXAr7xjm0S9GMrzYoFCljbGZx9gtybxghPZ3T+ddkmuoCgDSlAlI0qdd2ImjhaH8eRld5nfA==" saltValue="7aftfQ+rjOu5m3imv8s06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HUYmA47TMjBUONRLIpbZKYGDX5W3zxJ5x2WnCd6Me4Jp7RphSVbs7NPDost55+J0nMuACRk/CGX+1gpRMPh1g==" saltValue="RIuBi4P+DmLeMX34E/4aD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SANTA COLOMA DE FARNERS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0.22549952426260705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0.15945224276042985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xcfpSfkqxkyHyM1za/FpZ5TzgWY5lQew9ofNO1yxQOjHYHj0rBfIlGuxZkNE3jvIDRX57RWT1VX91z4YhDnv5Q==" saltValue="4lG4GC9SzYLe6LP+7/tii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JeAmICiUun7RN8FgFnra1RG7o78cVh60xlNt6fpb+vvaNJ+UrxAOFrWVbURaMjAgizsSKMJ1IHvMtbOaoBpT+w==" saltValue="IGbOikCcL3dFLy2p3CN91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SANTA COLOMA DE FARNERS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143</v>
      </c>
      <c r="D10" s="403">
        <f>IF(ISNUMBER(C10/Datos!BH10),C10/Datos!BH10," - ")</f>
        <v>143</v>
      </c>
      <c r="E10" s="402">
        <f>IF(ISNUMBER(Datos!J10),Datos!J10," - ")</f>
        <v>22</v>
      </c>
      <c r="F10" s="403">
        <f>IF(ISNUMBER(E10/B10),E10/B10," - ")</f>
        <v>22</v>
      </c>
      <c r="G10" s="402">
        <f>IF(ISNUMBER(Datos!K10),Datos!K10," - ")</f>
        <v>14</v>
      </c>
      <c r="H10" s="403">
        <f>IF(ISNUMBER(G10/B10),G10/B10," - ")</f>
        <v>14</v>
      </c>
      <c r="I10" s="402">
        <f>IF(ISNUMBER(Datos!L10),Datos!L10," - ")</f>
        <v>151</v>
      </c>
      <c r="J10" s="403">
        <f>IF(ISNUMBER(I10/B10),I10/B10," - ")</f>
        <v>151</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4429</v>
      </c>
      <c r="D12" s="403">
        <f>IF(ISNUMBER(C12/Datos!BH12),C12/Datos!BH12," - ")</f>
        <v>1107.25</v>
      </c>
      <c r="E12" s="402">
        <f>IF(ISNUMBER(IF(J_V="SI",Datos!J12,Datos!J12+Datos!Z12)),IF(J_V="SI",Datos!J12,Datos!J12+Datos!Z12)," - ")</f>
        <v>1304</v>
      </c>
      <c r="F12" s="403">
        <f>IF(ISNUMBER(E12/B12),E12/B12," - ")</f>
        <v>326</v>
      </c>
      <c r="G12" s="402">
        <f>IF(ISNUMBER(IF(J_V="SI",Datos!K12,Datos!K12+Datos!AA12)),IF(J_V="SI",Datos!K12,Datos!K12+Datos!AA12)," - ")</f>
        <v>1037</v>
      </c>
      <c r="H12" s="403">
        <f>IF(ISNUMBER(G12/B12),G12/B12," - ")</f>
        <v>259.25</v>
      </c>
      <c r="I12" s="402">
        <f>IF(ISNUMBER(IF(J_V="SI",Datos!L12,Datos!L12+Datos!AB12)),IF(J_V="SI",Datos!L12,Datos!L12+Datos!AB12)," - ")</f>
        <v>4696</v>
      </c>
      <c r="J12" s="403">
        <f>IF(ISNUMBER(I12/B12),I12/B12," - ")</f>
        <v>1174</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4572</v>
      </c>
      <c r="D13" s="847" t="str">
        <f>IF(ISNUMBER(C13/Datos!BI13),C13/Datos!BI13," - ")</f>
        <v xml:space="preserve"> - </v>
      </c>
      <c r="E13" s="846">
        <f>SUBTOTAL(9,E8:E12)</f>
        <v>1326</v>
      </c>
      <c r="F13" s="847">
        <f>IF(ISNUMBER(E13/B13),E13/B13," - ")</f>
        <v>331.5</v>
      </c>
      <c r="G13" s="846">
        <f>SUBTOTAL(9,G8:G12)</f>
        <v>1051</v>
      </c>
      <c r="H13" s="847">
        <f>IF(ISNUMBER(G13/B13),G13/B13," - ")</f>
        <v>262.75</v>
      </c>
      <c r="I13" s="846">
        <f>SUBTOTAL(9,I8:I12)</f>
        <v>4847</v>
      </c>
      <c r="J13" s="847">
        <f>IF(ISNUMBER(I13/B13),I13/B13," - ")</f>
        <v>1211.75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2959</v>
      </c>
      <c r="D17" s="403">
        <f>IF(ISNUMBER(C17/Datos!BH17),C17/Datos!BH17," - ")</f>
        <v>739.75</v>
      </c>
      <c r="E17" s="402">
        <f>IF(ISNUMBER(IF(D_I="SI",Datos!J17,Datos!J17+Datos!AD17)),IF(D_I="SI",Datos!J17,Datos!J17+Datos!AD17)," - ")</f>
        <v>948</v>
      </c>
      <c r="F17" s="403">
        <f>IF(ISNUMBER(E17/B17),E17/B17," - ")</f>
        <v>237</v>
      </c>
      <c r="G17" s="402">
        <f>IF(ISNUMBER(IF(D_I="SI",Datos!K17,Datos!K17+Datos!AE17)),IF(D_I="SI",Datos!K17,Datos!K17+Datos!AE17)," - ")</f>
        <v>1115</v>
      </c>
      <c r="H17" s="403">
        <f>IF(ISNUMBER(G17/B17),G17/B17," - ")</f>
        <v>278.75</v>
      </c>
      <c r="I17" s="402">
        <f>IF(ISNUMBER(IF(D_I="SI",Datos!L17,Datos!L17+Datos!AF17)),IF(D_I="SI",Datos!L17,Datos!L17+Datos!AF17)," - ")</f>
        <v>2792</v>
      </c>
      <c r="J17" s="403">
        <f>IF(ISNUMBER(I17/B17),I17/B17," - ")</f>
        <v>698</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205</v>
      </c>
      <c r="D18" s="403">
        <f>IF(ISNUMBER(C18/Datos!BH18),C18/Datos!BH18," - ")</f>
        <v>205</v>
      </c>
      <c r="E18" s="402">
        <f>IF(ISNUMBER(IF(D_I="SI",Datos!J18,Datos!J18+Datos!AD18)),IF(D_I="SI",Datos!J18,Datos!J18+Datos!AD18)," - ")</f>
        <v>163</v>
      </c>
      <c r="F18" s="403">
        <f>IF(ISNUMBER(E18/B18),E18/B18," - ")</f>
        <v>163</v>
      </c>
      <c r="G18" s="402">
        <f>IF(ISNUMBER(IF(D_I="SI",Datos!K18,Datos!K18+Datos!AE18)),IF(D_I="SI",Datos!K18,Datos!K18+Datos!AE18)," - ")</f>
        <v>164</v>
      </c>
      <c r="H18" s="403">
        <f>IF(ISNUMBER(G18/B18),G18/B18," - ")</f>
        <v>164</v>
      </c>
      <c r="I18" s="402">
        <f>IF(ISNUMBER(IF(D_I="SI",Datos!L18,Datos!L18+Datos!AF18)),IF(D_I="SI",Datos!L18,Datos!L18+Datos!AF18)," - ")</f>
        <v>209</v>
      </c>
      <c r="J18" s="403">
        <f>IF(ISNUMBER(I18/B18),I18/B18," - ")</f>
        <v>209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3164</v>
      </c>
      <c r="D19" s="847" t="str">
        <f>IF(ISNUMBER(C19/Datos!BI19),C19/Datos!BI19," - ")</f>
        <v xml:space="preserve"> - </v>
      </c>
      <c r="E19" s="846">
        <f>SUBTOTAL(9,E14:E18)</f>
        <v>1111</v>
      </c>
      <c r="F19" s="847">
        <f>IF(ISNUMBER(E19/B19),E19/B19," - ")</f>
        <v>277.75</v>
      </c>
      <c r="G19" s="846">
        <f>SUBTOTAL(9,G14:G18)</f>
        <v>1279</v>
      </c>
      <c r="H19" s="847">
        <f>IF(ISNUMBER(G19/B19),G19/B19," - ")</f>
        <v>319.75</v>
      </c>
      <c r="I19" s="846">
        <f>SUBTOTAL(9,I14:I18)</f>
        <v>3001</v>
      </c>
      <c r="J19" s="847">
        <f>IF(ISNUMBER(I19/B19),I19/B19," - ")</f>
        <v>750.25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7736</v>
      </c>
      <c r="D20" s="792" t="str">
        <f>IF(ISNUMBER(C20/Datos!BI20),C20/Datos!BI20," - ")</f>
        <v xml:space="preserve"> - </v>
      </c>
      <c r="E20" s="791">
        <f>SUBTOTAL(9,E9:E19)</f>
        <v>2437</v>
      </c>
      <c r="F20" s="792">
        <f>IF(ISNUMBER(E20/B20),E20/B20," - ")</f>
        <v>609.25</v>
      </c>
      <c r="G20" s="791">
        <f>SUBTOTAL(9,G9:G19)</f>
        <v>2330</v>
      </c>
      <c r="H20" s="792">
        <f>IF(ISNUMBER(G20/B20),G20/B20," - ")</f>
        <v>582.5</v>
      </c>
      <c r="I20" s="791">
        <f>SUBTOTAL(9,I9:I19)</f>
        <v>7848</v>
      </c>
      <c r="J20" s="792">
        <f>IF(ISNUMBER(I20/B20),I20/B20," - ")</f>
        <v>1962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M/9oNzNUk4bldyM34iA49rWQXCo5UktWoEGL5vZn0rkScb9r1/xGr18kV8USjD8lT7OCD2vvS0EcNNrUbZRFLw==" saltValue="ffgOr87fUPpYZ5mH+12BI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SANTA COLOMA DE FARNERS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143</v>
      </c>
      <c r="G10" s="681">
        <f>IF(ISNUMBER(Datos!I10),Datos!I10," - ")</f>
        <v>143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14</v>
      </c>
      <c r="AC10" s="680" t="str">
        <f>IF(ISNUMBER(IF(D_I="SI",DatosP!K18,DatosP!K18+DatosP!AE18)),IF(D_I="SI",DatosP!K18,DatosP!K18+DatosP!AE18)," - ")</f>
        <v xml:space="preserve"> - </v>
      </c>
      <c r="AD10" s="682"/>
      <c r="AE10" s="682"/>
      <c r="AF10" s="685">
        <f>IF(ISNUMBER(Datos!L10),Datos!L10,"-")</f>
        <v>151</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4</v>
      </c>
      <c r="AM10" s="687">
        <f>IF(ISNUMBER(Datos!N10+DatosP!N18),Datos!N10+DatosP!N18," - ")</f>
        <v>5</v>
      </c>
      <c r="AN10" s="687">
        <f>IF(ISNUMBER(Datos!BW10+DatosP!BW18),Datos!BW10+DatosP!BW18," - ")</f>
        <v>0</v>
      </c>
      <c r="AO10" s="688">
        <f>IF(ISNUMBER(Datos!BX10+DatosP!BX18),Datos!BX10+DatosP!BX18," - ")</f>
        <v>0</v>
      </c>
      <c r="AP10" s="690">
        <f>IF(ISNUMBER(((Datos!L10/Datos!K10)*11)/factor_trimestre),((Datos!L10/Datos!K10)*11)/factor_trimestre," - ")</f>
        <v>32.357142857142861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539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442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5532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233</v>
      </c>
      <c r="AM12" s="687">
        <f>IF(ISNUMBER(Datos!N12+DatosP!N17),Datos!N12+DatosP!N17," - ")</f>
        <v>475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13.585342333654774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1.7847286108555658E-2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143</v>
      </c>
      <c r="G13" s="933">
        <f t="shared" si="0"/>
        <v>143</v>
      </c>
      <c r="H13" s="933">
        <f t="shared" si="0"/>
        <v>0</v>
      </c>
      <c r="I13" s="935">
        <f t="shared" si="0"/>
        <v>0</v>
      </c>
      <c r="J13" s="934">
        <f t="shared" si="0"/>
        <v>0</v>
      </c>
      <c r="K13" s="934">
        <f t="shared" si="0"/>
        <v>0</v>
      </c>
      <c r="L13" s="936">
        <f t="shared" si="0"/>
        <v>0</v>
      </c>
      <c r="M13" s="936">
        <f t="shared" si="0"/>
        <v>0</v>
      </c>
      <c r="N13" s="934">
        <f t="shared" si="0"/>
        <v>541</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14</v>
      </c>
      <c r="AC13" s="934">
        <f t="shared" si="1"/>
        <v>0</v>
      </c>
      <c r="AD13" s="934">
        <f t="shared" si="1"/>
        <v>442</v>
      </c>
      <c r="AE13" s="934">
        <f t="shared" si="1"/>
        <v>0</v>
      </c>
      <c r="AF13" s="934">
        <f t="shared" si="1"/>
        <v>151</v>
      </c>
      <c r="AG13" s="934">
        <f t="shared" si="1"/>
        <v>0</v>
      </c>
      <c r="AH13" s="934">
        <f t="shared" si="1"/>
        <v>5532</v>
      </c>
      <c r="AI13" s="934">
        <f t="shared" si="1"/>
        <v>0</v>
      </c>
      <c r="AJ13" s="934">
        <f t="shared" si="1"/>
        <v>0</v>
      </c>
      <c r="AK13" s="934">
        <f t="shared" si="1"/>
        <v>0</v>
      </c>
      <c r="AL13" s="934">
        <f t="shared" si="1"/>
        <v>237</v>
      </c>
      <c r="AM13" s="934">
        <f t="shared" si="1"/>
        <v>480</v>
      </c>
      <c r="AN13" s="934">
        <f t="shared" si="1"/>
        <v>0</v>
      </c>
      <c r="AO13" s="934">
        <f t="shared" si="1"/>
        <v>0</v>
      </c>
      <c r="AP13" s="939">
        <f>IF(ISNUMBER(((Datos!L13/Datos!K13)*11)/factor_trimestre),((Datos!L13/Datos!K13)*11)/factor_trimestre," - ")</f>
        <v>14.569684638860631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-9.7902097902097904E-2</v>
      </c>
      <c r="AU13" s="934" t="str">
        <f>IF(ISNUMBER((DatosP!#REF!-DatosP!#REF!+DatosP!#REF!)/(DatosP!#REF!+DatosP!#REF!-DatosP!#REF!-DatosP!#REF!)),(DatosP!#REF!-DatosP!#REF!+DatosP!#REF!)/(DatosP!#REF!+DatosP!#REF!-DatosP!#REF!-DatosP!#REF!)," - ")</f>
        <v xml:space="preserve"> - </v>
      </c>
      <c r="AV13" s="940">
        <f>SUBTOTAL(9,AV9:AV12)</f>
        <v>1.7847286108555658E-2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7.0390930414386252</v>
      </c>
      <c r="AQ19" s="939">
        <f>IF(ISNUMBER(((Datos!M19/Datos!L19)*11)/factor_trimestre),((Datos!M19/Datos!L19)*11)/factor_trimestre," - ")</f>
        <v>0.12595801399533491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4.9751243781094526E-3</v>
      </c>
      <c r="AW19" s="941">
        <f>IF(ISNUMBER((Datos!Q19-Datos!R19)/(Datos!S19-Datos!Q19+Datos!R19)),(Datos!Q19-Datos!R19)/(Datos!S19-Datos!Q19+Datos!R19)," - ")</f>
        <v>-6.8881118881118877E-2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143</v>
      </c>
      <c r="G20" s="946">
        <f t="shared" si="4"/>
        <v>143</v>
      </c>
      <c r="H20" s="946">
        <f t="shared" si="4"/>
        <v>0</v>
      </c>
      <c r="I20" s="947">
        <f t="shared" si="4"/>
        <v>0</v>
      </c>
      <c r="J20" s="948">
        <f t="shared" si="4"/>
        <v>0</v>
      </c>
      <c r="K20" s="948">
        <f t="shared" si="4"/>
        <v>0</v>
      </c>
      <c r="L20" s="948">
        <f t="shared" si="4"/>
        <v>0</v>
      </c>
      <c r="M20" s="948">
        <f t="shared" si="4"/>
        <v>0</v>
      </c>
      <c r="N20" s="947">
        <f t="shared" si="4"/>
        <v>541</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14</v>
      </c>
      <c r="AC20" s="952">
        <f t="shared" si="5"/>
        <v>0</v>
      </c>
      <c r="AD20" s="952">
        <f t="shared" si="5"/>
        <v>442</v>
      </c>
      <c r="AE20" s="952">
        <f t="shared" si="5"/>
        <v>0</v>
      </c>
      <c r="AF20" s="953">
        <f t="shared" si="5"/>
        <v>151</v>
      </c>
      <c r="AG20" s="953">
        <f t="shared" si="5"/>
        <v>0</v>
      </c>
      <c r="AH20" s="953">
        <f t="shared" si="5"/>
        <v>5532</v>
      </c>
      <c r="AI20" s="953">
        <f t="shared" si="5"/>
        <v>0</v>
      </c>
      <c r="AJ20" s="954">
        <f t="shared" si="5"/>
        <v>0</v>
      </c>
      <c r="AK20" s="954">
        <f t="shared" si="5"/>
        <v>0</v>
      </c>
      <c r="AL20" s="946">
        <f t="shared" si="5"/>
        <v>237</v>
      </c>
      <c r="AM20" s="946">
        <f t="shared" si="5"/>
        <v>480</v>
      </c>
      <c r="AN20" s="946">
        <f t="shared" si="5"/>
        <v>0</v>
      </c>
      <c r="AO20" s="946">
        <f t="shared" si="5"/>
        <v>0</v>
      </c>
      <c r="AP20" s="946">
        <f>IF(ISNUMBER(((Datos!L20/Datos!K20)*11)/factor_trimestre),((Datos!L20/Datos!K20)*11)/factor_trimestre," - ")</f>
        <v>10.311671087533158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-9.7902097902097904E-2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1.751927119831815E-2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95.333333333333329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82.56108849411649</v>
      </c>
      <c r="G22" s="734">
        <f>IF(ISNUMBER(STDEV(G8:G19)),STDEV(G8:G19),"-")</f>
        <v>82.56108849411649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8.0829037686547611</v>
      </c>
      <c r="AC22" s="735">
        <f>IF(ISNUMBER(STDEV(AC8:AC19)),STDEV(AC8:AC19),"-")</f>
        <v>0</v>
      </c>
      <c r="AD22" s="738"/>
      <c r="AE22" s="738"/>
      <c r="AF22" s="738"/>
      <c r="AG22" s="738"/>
      <c r="AH22" s="738"/>
      <c r="AI22" s="738"/>
      <c r="AJ22" s="739">
        <f>IF(ISNUMBER(STDEV(AJ8:AJ19)),STDEV(AJ8:AJ19),"-")</f>
        <v>0</v>
      </c>
      <c r="AK22" s="741"/>
      <c r="AL22" s="733">
        <f>IF(ISNUMBER(STDEV(AL8:AL19)),STDEV(AL8:AL19),"-")</f>
        <v>134.54243444603887</v>
      </c>
      <c r="AM22" s="733"/>
      <c r="AN22" s="733">
        <f>IF(ISNUMBER(STDEV(AN8:AN19)),STDEV(AN8:AN19),"-")</f>
        <v>0</v>
      </c>
      <c r="AO22" s="739">
        <f>IF(ISNUMBER(STDEV(AO8:AO19)),STDEV(AO8:AO19),"-")</f>
        <v>0</v>
      </c>
      <c r="AP22" s="776">
        <f>IF(ISNUMBER(STDEV(AP8:AP19)),STDEV(AP8:AP19),"-")</f>
        <v>10.840932964956121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UegKbAfnf4Rg2mlBGkWzQBCAJ/qq8WPdhlAOloAHk4gSbfFnhRVK6A+8YLyHDIjjXL0amsi72a0tiV7T4m+Yw==" saltValue="zuVw8Q9rT3J5C6Lj6i6Bf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GIRONA  Resumenes por Partidos Judiciales  SANTA COLOMA DE FARNERS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450.52736622276245</v>
      </c>
      <c r="CF9" s="228">
        <f ca="1">AVERAGEIFS($AB:$AB,$BW:$BW,BW9,$BX:$BX,BX9)</f>
        <v>450.52736622276245</v>
      </c>
      <c r="CG9" s="1191">
        <v>0.7</v>
      </c>
      <c r="CH9" s="1191">
        <f ca="1">AVERAGEIF($BW:$BW,$BW9,$AC:$AC)</f>
        <v>134.1</v>
      </c>
      <c r="CI9" s="228">
        <f ca="1">AVERAGEIFS($AC:$AC,$BW:$BW,$BW9,$BX:$BX,$BX9)</f>
        <v>134.1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1050.6666666666667</v>
      </c>
      <c r="CR9" s="228">
        <f ca="1">AVERAGEIFS($AF:$AF,$BW:$BW,BW9,$BX:$BX,BX9)</f>
        <v>1050.6666666666667</v>
      </c>
      <c r="CS9" s="1191">
        <v>1.3</v>
      </c>
      <c r="CT9" s="1191">
        <v>1.5</v>
      </c>
      <c r="CU9" s="1191">
        <f ca="1">AVERAGEIF($BW:$BW,$BW9,$AH:$AH)</f>
        <v>31.285714285714285</v>
      </c>
      <c r="CV9" s="228">
        <f ca="1">AVERAGEIFS($AH:$AH,$BW:$BW,$BW9,$BX:$BX,$BX9)</f>
        <v>31.285714285714285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1742.4</v>
      </c>
      <c r="DH9" s="1218">
        <f ca="1">AVERAGEIFS($AM:$AM,$BW:$BW,$BW9,$BX:$BX,$BX9)</f>
        <v>1742.4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9.0424528543064593</v>
      </c>
      <c r="ER9" s="1218">
        <f ca="1">AVERAGEIFS($BH:$BH,$BW:$BW,$BW9,$BX:$BX,$BX9)</f>
        <v>9.0424528543064593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143</v>
      </c>
      <c r="G10" s="332">
        <f>IF(ISNUMBER(Datos!I10),Datos!I10," - ")</f>
        <v>143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14</v>
      </c>
      <c r="AC10" s="224">
        <f>IF(ISNUMBER(Datos!Q10),Datos!Q10," - ")</f>
        <v>0</v>
      </c>
      <c r="AD10" s="224"/>
      <c r="AE10" s="224"/>
      <c r="AF10" s="224">
        <f>IF(ISNUMBER(Datos!L10),Datos!L10,"-")</f>
        <v>151</v>
      </c>
      <c r="AG10" s="333"/>
      <c r="AH10" s="224"/>
      <c r="AI10" s="224"/>
      <c r="AJ10" s="1214"/>
      <c r="AK10" s="333"/>
      <c r="AL10" s="478"/>
      <c r="AM10" s="1214">
        <f>IF(ISNUMBER(Datos!R10),Datos!R10," - ")</f>
        <v>74</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4</v>
      </c>
      <c r="BD10" s="228">
        <f>IF(ISNUMBER(Datos!N10),Datos!N10," - ")</f>
        <v>5</v>
      </c>
      <c r="BE10" s="1214" t="str">
        <f>IF(ISNUMBER(Datos!BW10),Datos!BW10," - ")</f>
        <v xml:space="preserve"> - </v>
      </c>
      <c r="BF10" s="1214" t="str">
        <f>IF(ISNUMBER(Datos!BX10),Datos!BX10," - ")</f>
        <v xml:space="preserve"> - </v>
      </c>
      <c r="BG10" s="242">
        <f>IF(ISNUMBER(Datos!K10/Datos!J10),Datos!K10/Datos!J10," - ")</f>
        <v>0.63636363636363635</v>
      </c>
      <c r="BH10" s="1214">
        <f>IF(ISNUMBER(((Datos!L10/Datos!K10)*11)/factor_trimestre),((Datos!L10/Datos!K10)*11)/factor_trimestre," - ")</f>
        <v>32.357142857142861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2.7777777777777776E-2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450.52736622276245</v>
      </c>
      <c r="CF10" s="228">
        <f ca="1">AVERAGEIFS($AB:$AB,$BW:$BW,BW10,$BX:$BX,BX10)</f>
        <v>450.52736622276245</v>
      </c>
      <c r="CG10" s="1191">
        <v>0.7</v>
      </c>
      <c r="CH10" s="1191">
        <f ca="1">AVERAGEIF($BW:$BW,BW10,$AC:$AC)</f>
        <v>134.1</v>
      </c>
      <c r="CI10" s="228">
        <f ca="1">AVERAGEIFS($AC:$AC,$BW:$BW,BW10,$BX:$BX,BX10)</f>
        <v>134.1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1050.6666666666667</v>
      </c>
      <c r="CR10" s="228">
        <f ca="1">AVERAGEIFS($AF:$AF,$BW:$BW,BW10,$BX:$BX,BX10)</f>
        <v>1050.6666666666667</v>
      </c>
      <c r="CS10" s="1191">
        <v>1.3</v>
      </c>
      <c r="CT10" s="1191">
        <v>1.5</v>
      </c>
      <c r="CU10" s="1191">
        <f ca="1">AVERAGEIF($BW:$BW,$BW10,$AH:$AH)</f>
        <v>31.285714285714285</v>
      </c>
      <c r="CV10" s="228">
        <f ca="1">AVERAGEIFS($AH:$AH,$BW:$BW,$BW10,$BX:$BX,$BX10)</f>
        <v>31.285714285714285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1742.4</v>
      </c>
      <c r="DH10" s="1218">
        <f ca="1">AVERAGEIFS($AM:$AM,$BW:$BW,$BW10,$BX:$BX,$BX10)</f>
        <v>1742.4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9.0424528543064593</v>
      </c>
      <c r="ER10" s="1218">
        <f ca="1">AVERAGEIFS($BH:$BH,$BW:$BW,$BW10,$BX:$BX,$BX10)</f>
        <v>9.0424528543064593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450.52736622276245</v>
      </c>
      <c r="CF11" s="228">
        <f ca="1">AVERAGEIFS($AB:$AB,$BW:$BW,BW11,$BX:$BX,BX11)</f>
        <v>450.52736622276245</v>
      </c>
      <c r="CG11" s="1191">
        <v>0.7</v>
      </c>
      <c r="CH11" s="1191">
        <f ca="1">AVERAGEIF($BW:$BW,BW11,$AC:$AC)</f>
        <v>134.1</v>
      </c>
      <c r="CI11" s="228">
        <f ca="1">AVERAGEIFS($AC:$AC,$BW:$BW,BW11,$BX:$BX,BX11)</f>
        <v>134.1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1050.6666666666667</v>
      </c>
      <c r="CR11" s="228">
        <f ca="1">AVERAGEIFS($AF:$AF,$BW:$BW,BW11,$BX:$BX,BX11)</f>
        <v>1050.6666666666667</v>
      </c>
      <c r="CS11" s="1191">
        <v>1.3</v>
      </c>
      <c r="CT11" s="1191">
        <v>1.5</v>
      </c>
      <c r="CU11" s="1191">
        <f ca="1">AVERAGEIF($BW:$BW,$BW11,$AH:$AH)</f>
        <v>31.285714285714285</v>
      </c>
      <c r="CV11" s="228">
        <f ca="1">AVERAGEIFS($AH:$AH,$BW:$BW,$BW11,$BX:$BX,$BX11)</f>
        <v>31.285714285714285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1742.4</v>
      </c>
      <c r="DH11" s="1218">
        <f ca="1">AVERAGEIFS($AM:$AM,$BW:$BW,$BW11,$BX:$BX,$BX11)</f>
        <v>1742.4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9.0424528543064593</v>
      </c>
      <c r="ER11" s="1218">
        <f ca="1">AVERAGEIFS($BH:$BH,$BW:$BW,$BW11,$BX:$BX,$BX11)</f>
        <v>9.0424528543064593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74</v>
      </c>
      <c r="O12" s="333"/>
      <c r="P12" s="333"/>
      <c r="Q12" s="225">
        <f>IF(ISNUMBER(Datos!P12),Datos!P12,0)</f>
        <v>539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442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73</v>
      </c>
      <c r="AI12" s="224" t="str">
        <f>IF(ISNUMBER(Datos!CD12),Datos!CD12,"-")</f>
        <v>-</v>
      </c>
      <c r="AJ12" s="1214" t="str">
        <f>IF(ISNUMBER(Datos!EN12),Datos!EN12," - ")</f>
        <v xml:space="preserve"> - </v>
      </c>
      <c r="AK12" s="333"/>
      <c r="AL12" s="478"/>
      <c r="AM12" s="1214">
        <f>IF(ISNUMBER(Datos!R12),Datos!R12," - ")</f>
        <v>5532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233</v>
      </c>
      <c r="BD12" s="228">
        <f>IF(ISNUMBER(Datos!N12),Datos!N12," - ")</f>
        <v>475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0.79524539877300615</v>
      </c>
      <c r="BH12" s="1214">
        <f>IF(ISNUMBER(((IF(J_V="SI",Datos!L12/Datos!K12,(Datos!L12+Datos!AB12)/(Datos!K12+Datos!AA12)))*11)/factor_trimestre),((IF(J_V="SI",Datos!L12/Datos!K12,(Datos!L12+Datos!AB12)/(Datos!K12+Datos!AA12)))*11)/factor_trimestre," - ")</f>
        <v>13.585342333654774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1.7847286108555658E-2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450.52736622276245</v>
      </c>
      <c r="CF12" s="228">
        <f ca="1">AVERAGEIFS($AB:$AB,$BW:$BW,BW12,$BX:$BX,BX12)</f>
        <v>450.52736622276245</v>
      </c>
      <c r="CG12" s="1191">
        <v>0.7</v>
      </c>
      <c r="CH12" s="1191">
        <f ca="1">AVERAGEIF($BW:$BW,BW12,$AC:$AC)</f>
        <v>134.1</v>
      </c>
      <c r="CI12" s="228">
        <f ca="1">AVERAGEIFS($AC:$AC,$BW:$BW,BW12,$BX:$BX,BX12)</f>
        <v>134.1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1050.6666666666667</v>
      </c>
      <c r="CR12" s="228">
        <f ca="1">AVERAGEIFS($AF:$AF,$BW:$BW,BW12,$BX:$BX,BX12)</f>
        <v>1050.6666666666667</v>
      </c>
      <c r="CS12" s="1191">
        <v>1.3</v>
      </c>
      <c r="CT12" s="1191">
        <v>1.5</v>
      </c>
      <c r="CU12" s="1191">
        <f ca="1">AVERAGEIF($BW:$BW,$BW12,$AH:$AH)</f>
        <v>31.285714285714285</v>
      </c>
      <c r="CV12" s="228">
        <f ca="1">AVERAGEIFS($AH:$AH,$BW:$BW,$BW12,$BX:$BX,$BX12)</f>
        <v>31.285714285714285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1742.4</v>
      </c>
      <c r="DH12" s="1218">
        <f ca="1">AVERAGEIFS($AM:$AM,$BW:$BW,$BW12,$BX:$BX,$BX12)</f>
        <v>1742.4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9.0424528543064593</v>
      </c>
      <c r="ER12" s="1218">
        <f ca="1">AVERAGEIFS($BH:$BH,$BW:$BW,$BW12,$BX:$BX,$BX12)</f>
        <v>9.0424528543064593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143</v>
      </c>
      <c r="G13" s="895">
        <f t="shared" si="1"/>
        <v>143</v>
      </c>
      <c r="H13" s="896">
        <f t="shared" si="1"/>
        <v>0</v>
      </c>
      <c r="I13" s="895">
        <f t="shared" si="1"/>
        <v>0</v>
      </c>
      <c r="J13" s="864">
        <f t="shared" si="1"/>
        <v>0</v>
      </c>
      <c r="K13" s="864">
        <f t="shared" si="1"/>
        <v>0</v>
      </c>
      <c r="L13" s="896">
        <f t="shared" si="1"/>
        <v>0</v>
      </c>
      <c r="M13" s="896">
        <f t="shared" si="1"/>
        <v>0</v>
      </c>
      <c r="N13" s="896">
        <f t="shared" si="1"/>
        <v>74</v>
      </c>
      <c r="O13" s="897">
        <f t="shared" si="1"/>
        <v>0</v>
      </c>
      <c r="P13" s="897">
        <f t="shared" si="1"/>
        <v>0</v>
      </c>
      <c r="Q13" s="896">
        <f t="shared" si="1"/>
        <v>541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14</v>
      </c>
      <c r="AC13" s="896">
        <f t="shared" si="2"/>
        <v>442</v>
      </c>
      <c r="AD13" s="896">
        <f t="shared" si="2"/>
        <v>0</v>
      </c>
      <c r="AE13" s="896">
        <f t="shared" si="2"/>
        <v>0</v>
      </c>
      <c r="AF13" s="896">
        <f t="shared" si="2"/>
        <v>151</v>
      </c>
      <c r="AG13" s="896">
        <f t="shared" si="2"/>
        <v>0</v>
      </c>
      <c r="AH13" s="896">
        <f t="shared" si="2"/>
        <v>73</v>
      </c>
      <c r="AI13" s="896">
        <f t="shared" si="2"/>
        <v>0</v>
      </c>
      <c r="AJ13" s="896">
        <f t="shared" si="2"/>
        <v>0</v>
      </c>
      <c r="AK13" s="896">
        <f t="shared" si="2"/>
        <v>0</v>
      </c>
      <c r="AL13" s="896">
        <f t="shared" si="2"/>
        <v>0</v>
      </c>
      <c r="AM13" s="896">
        <f t="shared" si="2"/>
        <v>5606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237</v>
      </c>
      <c r="BD13" s="896">
        <f t="shared" si="2"/>
        <v>480</v>
      </c>
      <c r="BE13" s="896">
        <f t="shared" si="2"/>
        <v>0</v>
      </c>
      <c r="BF13" s="896">
        <f t="shared" si="2"/>
        <v>0</v>
      </c>
      <c r="BG13" s="896">
        <f>IF(ISNUMBER(Datos!K13/Datos!J13),Datos!K13/Datos!J13," - ")</f>
        <v>0.78514376996805113</v>
      </c>
      <c r="BH13" s="900">
        <f>IF(ISNUMBER(((Datos!L13/Datos!K13)*11)/factor_trimestre),((Datos!L13/Datos!K13)*11)/factor_trimestre," - ")</f>
        <v>14.569684638860631</v>
      </c>
      <c r="BI13" s="896">
        <f>IF(ISNUMBER('Resol  Asuntos'!D13/NºAsuntos!G13),'Resol  Asuntos'!D13/NºAsuntos!G13," - ")</f>
        <v>0.22549952426260705</v>
      </c>
      <c r="BJ13" s="896" t="str">
        <f>IF(ISNUMBER(Datos!CI13/Datos!CJ13),Datos!CI13/Datos!CJ13," - ")</f>
        <v xml:space="preserve"> - </v>
      </c>
      <c r="BK13" s="896">
        <f>SUBTOTAL(9,BK8:BK12)</f>
        <v>0</v>
      </c>
      <c r="BL13" s="896">
        <f>IF(ISNUMBER((I13-AB13+L13)/(F13)),(I13-AB13+L13)/(F13)," - ")</f>
        <v>-9.7902097902097904E-2</v>
      </c>
      <c r="BM13" s="901">
        <f>SUBTOTAL(9,BM9:BM12)</f>
        <v>4.5625063886333431E-2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450.52736622276245</v>
      </c>
      <c r="CF15" s="228">
        <f ca="1">AVERAGEIFS($AB:$AB,$BW:$BW,BW15,$BX:$BX,BX15)</f>
        <v>450.52736622276245</v>
      </c>
      <c r="CG15" s="1191">
        <v>0.7</v>
      </c>
      <c r="CH15" s="1191">
        <f ca="1">AVERAGEIF($BW:$BW,BW15,$AC:$AC)</f>
        <v>134.1</v>
      </c>
      <c r="CI15" s="228">
        <f ca="1">AVERAGEIFS($AC:$AC,$BW:$BW,BW15,$BX:$BX,BX15)</f>
        <v>134.1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1050.6666666666667</v>
      </c>
      <c r="CR15" s="228">
        <f ca="1">AVERAGEIFS($AF:$AF,$BW:$BW,BW15,$BX:$BX,BX15)</f>
        <v>1050.6666666666667</v>
      </c>
      <c r="CS15" s="1191">
        <v>1.3</v>
      </c>
      <c r="CT15" s="1191">
        <v>1.5</v>
      </c>
      <c r="CU15" s="1191">
        <f ca="1">AVERAGEIF($BW:$BW,$BW15,$AH:$AH)</f>
        <v>31.285714285714285</v>
      </c>
      <c r="CV15" s="228">
        <f ca="1">AVERAGEIFS($AH:$AH,$BW:$BW,$BW15,$BX:$BX,$BX15)</f>
        <v>31.285714285714285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1742.4</v>
      </c>
      <c r="DH15" s="1218">
        <f ca="1">AVERAGEIFS($AM:$AM,$BW:$BW,$BW15,$BX:$BX,$BX15)</f>
        <v>1742.4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9.0424528543064593</v>
      </c>
      <c r="ER15" s="1218">
        <f ca="1">AVERAGEIFS($BH:$BH,$BW:$BW,$BW15,$BX:$BX,$BX15)</f>
        <v>9.0424528543064593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450.52736622276245</v>
      </c>
      <c r="CF16" s="1218">
        <f ca="1">AVERAGEIFS($AB:$AB,$BW:$BW,BW16,$BX:$BX,BX16)</f>
        <v>450.52736622276245</v>
      </c>
      <c r="CG16" s="1191">
        <v>0.7</v>
      </c>
      <c r="CH16" s="1191">
        <f ca="1">AVERAGEIF($BW:$BW,BW16,$AC:$AC)</f>
        <v>134.1</v>
      </c>
      <c r="CI16" s="1218">
        <f ca="1">AVERAGEIFS($AC:$AC,$BW:$BW,BW16,$BX:$BX,BX16)</f>
        <v>134.1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1050.6666666666667</v>
      </c>
      <c r="CR16" s="1218">
        <f ca="1">AVERAGEIFS($AF:$AF,$BW:$BW,BW16,$BX:$BX,BX16)</f>
        <v>1050.6666666666667</v>
      </c>
      <c r="CS16" s="1191">
        <v>1.3</v>
      </c>
      <c r="CT16" s="1191">
        <v>1.5</v>
      </c>
      <c r="CU16" s="1191">
        <f ca="1">AVERAGEIF($BW:$BW,$BW16,$AH:$AH)</f>
        <v>31.285714285714285</v>
      </c>
      <c r="CV16" s="1218">
        <f ca="1">AVERAGEIFS($AH:$AH,$BW:$BW,$BW16,$BX:$BX,$BX16)</f>
        <v>31.285714285714285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1742.4</v>
      </c>
      <c r="DH16" s="1218">
        <f ca="1">AVERAGEIFS($AM:$AM,$BW:$BW,$BW16,$BX:$BX,$BX16)</f>
        <v>1742.4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9.0424528543064593</v>
      </c>
      <c r="ER16" s="1218">
        <f ca="1">AVERAGEIFS($BH:$BH,$BW:$BW,$BW16,$BX:$BX,$BX16)</f>
        <v>9.0424528543064593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2959</v>
      </c>
      <c r="G17" s="596">
        <f>IF(ISNUMBER(IF(D_I="SI",Datos!I17,Datos!I17+Datos!AC17)),IF(D_I="SI",Datos!I17,Datos!I17+Datos!AC17)," - ")</f>
        <v>2959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1115</v>
      </c>
      <c r="AC17" s="224">
        <f>IF(ISNUMBER(Datos!Q17),Datos!Q17," - ")</f>
        <v>5</v>
      </c>
      <c r="AD17" s="224"/>
      <c r="AE17" s="224"/>
      <c r="AF17" s="224">
        <f>IF(ISNUMBER(IF(D_I="SI",Datos!L17,Datos!L17+Datos!AF17)),IF(D_I="SI",Datos!L17,Datos!L17+Datos!AF17)," - ")</f>
        <v>2792</v>
      </c>
      <c r="AG17" s="333"/>
      <c r="AH17" s="224"/>
      <c r="AI17" s="224"/>
      <c r="AJ17" s="1214"/>
      <c r="AK17" s="333"/>
      <c r="AL17" s="478"/>
      <c r="AM17" s="1214">
        <f>IF(ISNUMBER(Datos!R17),Datos!R17," - ")</f>
        <v>202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124</v>
      </c>
      <c r="BD17" s="228">
        <f>IF(ISNUMBER(Datos!N17),Datos!N17," - ")</f>
        <v>746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1.1761603375527425</v>
      </c>
      <c r="BH17" s="1214">
        <f>IF(ISNUMBER(((IF(D_I="SI",Datos!L17/Datos!K17,(Datos!L17+Datos!AF17)/(Datos!K17+Datos!AE17)))*11)/factor_trimestre),((IF(D_I="SI",Datos!L17/Datos!K17,(Datos!L17+Datos!AF17)/(Datos!K17+Datos!AE17)))*11)/factor_trimestre," - ")</f>
        <v>7.5121076233183857</v>
      </c>
      <c r="BI17" s="242">
        <f>IF(ISNUMBER('Resol  Asuntos'!D17/NºAsuntos!G17),'Resol  Asuntos'!D17/NºAsuntos!G17," - ")</f>
        <v>0.11121076233183856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450.52736622276245</v>
      </c>
      <c r="CF17" s="228">
        <f ca="1">AVERAGEIFS($AB:$AB,$BW:$BW,BW17,$BX:$BX,BX17)</f>
        <v>450.52736622276245</v>
      </c>
      <c r="CG17" s="1191">
        <v>0.7</v>
      </c>
      <c r="CH17" s="1191">
        <f ca="1">AVERAGEIF($BW:$BW,BW17,$AC:$AC)</f>
        <v>134.1</v>
      </c>
      <c r="CI17" s="228">
        <f ca="1">AVERAGEIFS($AC:$AC,$BW:$BW,BW17,$BX:$BX,BX17)</f>
        <v>134.1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1050.6666666666667</v>
      </c>
      <c r="CR17" s="228">
        <f ca="1">AVERAGEIFS($AF:$AF,$BW:$BW,BW17,$BX:$BX,BX17)</f>
        <v>1050.6666666666667</v>
      </c>
      <c r="CS17" s="1191">
        <v>1.3</v>
      </c>
      <c r="CT17" s="1191">
        <v>1.5</v>
      </c>
      <c r="CU17" s="1191">
        <f ca="1">AVERAGEIF($BW:$BW,$BW17,$AH:$AH)</f>
        <v>31.285714285714285</v>
      </c>
      <c r="CV17" s="228">
        <f ca="1">AVERAGEIFS($AH:$AH,$BW:$BW,$BW17,$BX:$BX,$BX17)</f>
        <v>31.285714285714285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1742.4</v>
      </c>
      <c r="DH17" s="1218">
        <f ca="1">AVERAGEIFS($AM:$AM,$BW:$BW,$BW17,$BX:$BX,$BX17)</f>
        <v>1742.4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9.0424528543064593</v>
      </c>
      <c r="ER17" s="1218">
        <f ca="1">AVERAGEIFS($BH:$BH,$BW:$BW,$BW17,$BX:$BX,$BX17)</f>
        <v>9.0424528543064593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205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164</v>
      </c>
      <c r="AC18" s="224">
        <f>IF(ISNUMBER(Datos!Q18),Datos!Q18," - ")</f>
        <v>0</v>
      </c>
      <c r="AD18" s="224"/>
      <c r="AE18" s="224"/>
      <c r="AF18" s="224">
        <f>IF(ISNUMBER(Datos!L18),Datos!L18,"-")</f>
        <v>209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51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1.0061349693251533</v>
      </c>
      <c r="BH18" s="1214">
        <f>IF(ISNUMBER(((IF(D_I="SI",Datos!L18/Datos!K18,(Datos!L18+Datos!AF18)/(Datos!K18+Datos!AE18)))*11)/factor_trimestre),((IF(D_I="SI",Datos!L18/Datos!K18,(Datos!L18+Datos!AF18)/(Datos!K18+Datos!AE18)))*11)/factor_trimestre," - ")</f>
        <v>3.8231707317073176</v>
      </c>
      <c r="BI18" s="242">
        <f>IF(ISNUMBER('Resol  Asuntos'!D18/NºAsuntos!G18),'Resol  Asuntos'!D18/NºAsuntos!G18," - ")</f>
        <v>1.2195121951219513E-2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450.52736622276245</v>
      </c>
      <c r="CF18" s="228">
        <f ca="1">AVERAGEIFS($AB:$AB,$BW:$BW,BW18,$BX:$BX,BX18)</f>
        <v>450.52736622276245</v>
      </c>
      <c r="CG18" s="1191">
        <v>0.7</v>
      </c>
      <c r="CH18" s="1191">
        <f ca="1">AVERAGEIF($BW:$BW,BW18,$AC:$AC)</f>
        <v>134.1</v>
      </c>
      <c r="CI18" s="228">
        <f ca="1">AVERAGEIFS($AC:$AC,$BW:$BW,BW18,$BX:$BX,BX18)</f>
        <v>134.1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1050.6666666666667</v>
      </c>
      <c r="CR18" s="228">
        <f ca="1">AVERAGEIFS($AF:$AF,$BW:$BW,BW18,$BX:$BX,BX18)</f>
        <v>1050.6666666666667</v>
      </c>
      <c r="CS18" s="1191">
        <v>1.3</v>
      </c>
      <c r="CT18" s="1191">
        <v>1.5</v>
      </c>
      <c r="CU18" s="1191">
        <f ca="1">AVERAGEIF($BW:$BW,$BW18,$AH:$AH)</f>
        <v>31.285714285714285</v>
      </c>
      <c r="CV18" s="228">
        <f ca="1">AVERAGEIFS($AH:$AH,$BW:$BW,$BW18,$BX:$BX,$BX18)</f>
        <v>31.285714285714285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1742.4</v>
      </c>
      <c r="DH18" s="1218">
        <f ca="1">AVERAGEIFS($AM:$AM,$BW:$BW,$BW18,$BX:$BX,$BX18)</f>
        <v>1742.4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9.0424528543064593</v>
      </c>
      <c r="ER18" s="1218">
        <f ca="1">AVERAGEIFS($BH:$BH,$BW:$BW,$BW18,$BX:$BX,$BX18)</f>
        <v>9.0424528543064593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2959</v>
      </c>
      <c r="G19" s="895">
        <f>SUBTOTAL(9,G15:G18)</f>
        <v>3164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1279</v>
      </c>
      <c r="AC19" s="896">
        <f t="shared" si="5"/>
        <v>5</v>
      </c>
      <c r="AD19" s="896">
        <f t="shared" si="5"/>
        <v>0</v>
      </c>
      <c r="AE19" s="896">
        <f t="shared" si="5"/>
        <v>0</v>
      </c>
      <c r="AF19" s="896">
        <f t="shared" si="5"/>
        <v>3001</v>
      </c>
      <c r="AG19" s="896">
        <f t="shared" si="5"/>
        <v>0</v>
      </c>
      <c r="AH19" s="896">
        <f t="shared" si="5"/>
        <v>0</v>
      </c>
      <c r="AI19" s="896">
        <f t="shared" si="5"/>
        <v>0</v>
      </c>
      <c r="AJ19" s="896">
        <f t="shared" si="5"/>
        <v>0</v>
      </c>
      <c r="AK19" s="896">
        <f t="shared" si="5"/>
        <v>0</v>
      </c>
      <c r="AL19" s="896">
        <f t="shared" si="5"/>
        <v>0</v>
      </c>
      <c r="AM19" s="896">
        <f t="shared" si="5"/>
        <v>202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126</v>
      </c>
      <c r="BD19" s="896">
        <f t="shared" si="5"/>
        <v>797</v>
      </c>
      <c r="BE19" s="896">
        <f t="shared" si="5"/>
        <v>0</v>
      </c>
      <c r="BF19" s="896">
        <f t="shared" si="5"/>
        <v>0</v>
      </c>
      <c r="BG19" s="896">
        <f>IF(ISNUMBER(Datos!K19/Datos!J19),Datos!K19/Datos!J19," - ")</f>
        <v>1.1512151215121511</v>
      </c>
      <c r="BH19" s="900">
        <f>IF(ISNUMBER(((Datos!L19/Datos!K19)*11)/factor_trimestre),((Datos!L19/Datos!K19)*11)/factor_trimestre," - ")</f>
        <v>7.0390930414386252</v>
      </c>
      <c r="BI19" s="896">
        <f>SUBTOTAL(9,BI15:BI18)</f>
        <v>0.12340588428305807</v>
      </c>
      <c r="BJ19" s="896">
        <f>SUBTOTAL(9,BJ15:BJ18)</f>
        <v>0</v>
      </c>
      <c r="BK19" s="896">
        <f>SUBTOTAL(9,BK15:BK18)</f>
        <v>0</v>
      </c>
      <c r="BL19" s="896">
        <f>IF(ISNUMBER((I19-AB19+L19)/(F19)),(I19-AB19+L19)/(F19)," - ")</f>
        <v>-0.43224062183169992</v>
      </c>
      <c r="BM19" s="902">
        <f>IF(ISNUMBER((Datos!P19-Datos!Q19)/(Datos!R19-Datos!P19+Datos!Q19)),(Datos!P19-Datos!Q19)/(Datos!R19-Datos!P19+Datos!Q19)," - ")</f>
        <v>4.9751243781094526E-3</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3102</v>
      </c>
      <c r="G20" s="817">
        <f t="shared" si="7"/>
        <v>3307</v>
      </c>
      <c r="H20" s="819">
        <f t="shared" si="7"/>
        <v>0</v>
      </c>
      <c r="I20" s="817">
        <f t="shared" si="7"/>
        <v>0</v>
      </c>
      <c r="J20" s="819">
        <f t="shared" si="7"/>
        <v>0</v>
      </c>
      <c r="K20" s="819">
        <f t="shared" si="7"/>
        <v>0</v>
      </c>
      <c r="L20" s="878">
        <f t="shared" si="7"/>
        <v>0</v>
      </c>
      <c r="M20" s="878">
        <f t="shared" si="7"/>
        <v>0</v>
      </c>
      <c r="N20" s="878">
        <f t="shared" si="7"/>
        <v>74</v>
      </c>
      <c r="O20" s="878">
        <f t="shared" si="7"/>
        <v>0</v>
      </c>
      <c r="P20" s="878">
        <f t="shared" si="7"/>
        <v>0</v>
      </c>
      <c r="Q20" s="819">
        <f t="shared" si="7"/>
        <v>547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1293</v>
      </c>
      <c r="AC20" s="818">
        <f t="shared" si="8"/>
        <v>447</v>
      </c>
      <c r="AD20" s="818">
        <f t="shared" si="8"/>
        <v>0</v>
      </c>
      <c r="AE20" s="818">
        <f t="shared" si="8"/>
        <v>0</v>
      </c>
      <c r="AF20" s="825">
        <f t="shared" si="8"/>
        <v>3152</v>
      </c>
      <c r="AG20" s="825">
        <f t="shared" si="8"/>
        <v>0</v>
      </c>
      <c r="AH20" s="825">
        <f t="shared" si="8"/>
        <v>73</v>
      </c>
      <c r="AI20" s="825">
        <f t="shared" si="8"/>
        <v>0</v>
      </c>
      <c r="AJ20" s="818">
        <f t="shared" si="8"/>
        <v>0</v>
      </c>
      <c r="AK20" s="825">
        <f t="shared" si="8"/>
        <v>0</v>
      </c>
      <c r="AL20" s="825">
        <f t="shared" si="8"/>
        <v>0</v>
      </c>
      <c r="AM20" s="825">
        <f t="shared" si="8"/>
        <v>5808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363</v>
      </c>
      <c r="BD20" s="817">
        <f t="shared" si="8"/>
        <v>1277</v>
      </c>
      <c r="BE20" s="817">
        <f t="shared" si="8"/>
        <v>0</v>
      </c>
      <c r="BF20" s="827">
        <f t="shared" si="8"/>
        <v>0</v>
      </c>
      <c r="BG20" s="912">
        <f>IF(ISNUMBER(Datos!K20/Datos!J20),Datos!K20/Datos!J20," - ")</f>
        <v>0.95725772323317815</v>
      </c>
      <c r="BH20" s="912">
        <f>IF(ISNUMBER(((Datos!L20/Datos!K20)*11)/factor_trimestre),((Datos!L20/Datos!K20)*11)/factor_trimestre," - ")</f>
        <v>10.311671087533158</v>
      </c>
      <c r="BI20" s="810">
        <f>IF(ISNUMBER(Datos!J20/Datos!I20),Datos!J20/Datos!I20," - ")</f>
        <v>0.30812361455209286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-0.41682785299806574</v>
      </c>
      <c r="BM20" s="886">
        <f>IF(ISNUMBER((Datos!P20-Datos!Q20+R20)/(Datos!R20-Datos!P20+Datos!Q20-R20)),(Datos!P20-Datos!Q20+R20)/(Datos!R20-Datos!P20+Datos!Q20-R20)," - ")</f>
        <v>1.751927119831815E-2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1322.8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1625.8183580379862</v>
      </c>
      <c r="G22" s="551">
        <f>IF(ISNUMBER(STDEV(G8:G19)),STDEV(G8:G19),"-")</f>
        <v>1589.0642529488857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626.27366222762396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103.8113673929787</v>
      </c>
      <c r="BD22" s="550"/>
      <c r="BE22" s="550">
        <f>IF(ISNUMBER(STDEV(BE8:BE19)),STDEV(BE8:BE19),"-")</f>
        <v>0</v>
      </c>
      <c r="BF22" s="555">
        <f>IF(ISNUMBER(STDEV(BF8:BF19)),STDEV(BF8:BF19),"-")</f>
        <v>0</v>
      </c>
      <c r="BG22" s="772">
        <f>IF(ISNUMBER(STDEV(BG8:BG19)),STDEV(BG8:BG19),"-")</f>
        <v>0.21933747517953339</v>
      </c>
      <c r="BH22" s="773">
        <f>IF(ISNUMBER(STDEV(BH8:BH19)),STDEV(BH8:BH19),"-")</f>
        <v>10.268769083715307</v>
      </c>
      <c r="BI22" s="248">
        <f>IF(ISNUMBER(STDEV(BI8:BI19)),STDEV(BI8:BI19),"-")</f>
        <v>8.7227887442022534E-2</v>
      </c>
      <c r="BJ22" s="1415" t="str">
        <f>IF(ISNUMBER(BL22/BM22),BL22/BM22," - ")</f>
        <v xml:space="preserve"> - </v>
      </c>
      <c r="BK22" s="574"/>
      <c r="BL22" s="558">
        <f>IF(ISNUMBER(STDEV(BL8:BL19)),STDEV(BL8:BL19),"-")</f>
        <v>0.23641303748252243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9bziudrrk2Xy64iYv702IG+VxYKGe1XTYrhP3yOA4nJNP+lSYu/WLF+Hb88+NKxXqjjop1DSew+VaFTes8Y3Cg==" saltValue="k+Gs3juPvG2WGQTkWgGwF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GIRONA  Resumenes por Partidos Judiciales  SANTA COLOMA DE FARNERS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0.22549952426260705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0.15945224276042985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NGw5lAbj99sXxBjBvlFbbVSBdLNfWM74PLViIucVnWYpbdo5u89TDrIa+qSyycyDtR0jhgnbzVMsjJ9qB9zohA==" saltValue="b4DdKheE7xrfJ/9RD3jIr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GIRONA</v>
      </c>
      <c r="C4" s="1461" t="str">
        <f>IF(Criterios!B11=0,"",Criterios!B11)</f>
        <v>SANTA COLOMA DE FARNERS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H5jw6O8MnB97T/Gzr3HFQBVlkRo4YQ7Lt2OxyntUY3oOWUkqh0Iw62cBQFPgSgQ9SlzFjZqYP4Q+bgMobRvZUw==" saltValue="GmBhITGT9mShRDOdZvjac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GIRONA</v>
      </c>
      <c r="C3" s="414"/>
      <c r="F3" s="374"/>
      <c r="G3" s="374"/>
      <c r="H3" s="374"/>
    </row>
    <row r="4" spans="1:16" ht="13.5" thickBot="1">
      <c r="A4" s="374"/>
      <c r="B4" s="390" t="str">
        <f>Criterios!A11 &amp;"  "&amp;Criterios!B11</f>
        <v>Resumenes por Partidos Judiciales  SANTA COLOMA DE FARNERS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OCqtSFiH5z7RsZJ1n9Q31gDO5T9XuA3V7AuI4aNaPcf0mKCbrWDqRASO8e+dZk4LNidVM+PSanw3Nd50Ad2ig==" saltValue="nkFEOq4v6WuvIiLv2A4I0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SANTA COLOMA DE FARNERS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4</v>
      </c>
      <c r="E10" s="403">
        <f>IF(ISNUMBER(D10/B10),D10/B10," - ")</f>
        <v>4</v>
      </c>
      <c r="F10" s="402">
        <f>IF(ISNUMBER(Datos!N10),Datos!N10," - ")</f>
        <v>5</v>
      </c>
      <c r="G10" s="403">
        <f>IF(ISNUMBER(F10/B10),F10/B10," - ")</f>
        <v>5</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233</v>
      </c>
      <c r="E12" s="403">
        <f t="shared" si="0"/>
        <v>58.25</v>
      </c>
      <c r="F12" s="402">
        <f>IF(ISNUMBER(Datos!N12),Datos!N12," - ")</f>
        <v>475</v>
      </c>
      <c r="G12" s="403">
        <f t="shared" si="1"/>
        <v>118.75</v>
      </c>
      <c r="H12" s="402">
        <f>IF(ISNUMBER(Datos!O12),Datos!O12," - ")</f>
        <v>606</v>
      </c>
      <c r="I12" s="403">
        <f t="shared" si="2"/>
        <v>151.5</v>
      </c>
      <c r="BZ12" s="1181">
        <f>Datos!EZ12</f>
        <v>0</v>
      </c>
    </row>
    <row r="13" spans="1:78" ht="14.25" thickTop="1" thickBot="1">
      <c r="A13" s="845" t="str">
        <f>Datos!A13</f>
        <v>TOTAL</v>
      </c>
      <c r="B13" s="846">
        <f>Datos!AP13</f>
        <v>4</v>
      </c>
      <c r="C13" s="848">
        <f>Datos!AR13</f>
        <v>4</v>
      </c>
      <c r="D13" s="846">
        <f>SUBTOTAL(9,D9:D12)</f>
        <v>237</v>
      </c>
      <c r="E13" s="847">
        <f t="shared" si="0"/>
        <v>59.25</v>
      </c>
      <c r="F13" s="846">
        <f>SUBTOTAL(9,F9:F12)</f>
        <v>480</v>
      </c>
      <c r="G13" s="847">
        <f t="shared" si="1"/>
        <v>120</v>
      </c>
      <c r="H13" s="846">
        <f>SUBTOTAL(9,H9:H12)</f>
        <v>608</v>
      </c>
      <c r="I13" s="847">
        <f>IF(ISNUMBER(H13/B13),H13/B13," - ")</f>
        <v>152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124</v>
      </c>
      <c r="E17" s="403">
        <f t="shared" si="3"/>
        <v>31</v>
      </c>
      <c r="F17" s="402">
        <f>IF(ISNUMBER(Datos!N17),Datos!N17," - ")</f>
        <v>746</v>
      </c>
      <c r="G17" s="403">
        <f t="shared" si="4"/>
        <v>186.5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51</v>
      </c>
      <c r="G18" s="403">
        <f>IF(ISNUMBER(F18/B18),F18/B18," - ")</f>
        <v>51</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126</v>
      </c>
      <c r="E19" s="847">
        <f t="shared" si="3"/>
        <v>31.5</v>
      </c>
      <c r="F19" s="846">
        <f>SUBTOTAL(9,F15:F18)</f>
        <v>797</v>
      </c>
      <c r="G19" s="847">
        <f t="shared" si="4"/>
        <v>199.25</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363</v>
      </c>
      <c r="E20" s="792">
        <f>IF(ISNUMBER(D20/B20),D20/B20," - ")</f>
        <v>90.75</v>
      </c>
      <c r="F20" s="791">
        <f>SUBTOTAL(9,F8:F19)</f>
        <v>1277</v>
      </c>
      <c r="G20" s="792">
        <f>IF(ISNUMBER(F20/B20),F20/B20," - ")</f>
        <v>319.25</v>
      </c>
      <c r="H20" s="791">
        <f>SUBTOTAL(9,H8:H19)</f>
        <v>608</v>
      </c>
      <c r="I20" s="792">
        <f>IF(ISNUMBER(H20/B20),H20/B20," - ")</f>
        <v>152</v>
      </c>
    </row>
    <row r="23" spans="1:78">
      <c r="A23" s="390" t="str">
        <f>Criterios!A4</f>
        <v>Fecha Informe: 18 jun. 2026</v>
      </c>
    </row>
    <row r="28" spans="1:78">
      <c r="A28" s="413"/>
    </row>
  </sheetData>
  <sheetProtection algorithmName="SHA-512" hashValue="gnjGARt+R3xI3FAsUgLskM0PNO6vQCevldnZSjon2T7KcM6wkvGaKatqqKSquX57JeLU+pu9WwGtGXBtxzjz+Q==" saltValue="Dq1PcaWedcYMYcdOpuZq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SANTA COLOMA DE FARNERS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0</v>
      </c>
      <c r="D10" s="407">
        <f>IF(ISNUMBER(Datos!R10),Datos!R10," - ")</f>
        <v>74</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539</v>
      </c>
      <c r="C12" s="433">
        <f>IF(ISNUMBER(Datos!Q12),Datos!Q12," - ")</f>
        <v>442</v>
      </c>
      <c r="D12" s="407">
        <f>IF(ISNUMBER(Datos!R12),Datos!R12," - ")</f>
        <v>5532</v>
      </c>
    </row>
    <row r="13" spans="1:4" ht="14.25" thickTop="1" thickBot="1">
      <c r="A13" s="845" t="str">
        <f>Datos!A13</f>
        <v>TOTAL</v>
      </c>
      <c r="B13" s="846">
        <f>SUBTOTAL(9,B9:B12)</f>
        <v>541</v>
      </c>
      <c r="C13" s="850">
        <f>SUBTOTAL(9,C9:C12)</f>
        <v>442</v>
      </c>
      <c r="D13" s="848">
        <f>SUBTOTAL(9,D9:D12)</f>
        <v>5606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6</v>
      </c>
      <c r="C17" s="433">
        <f>IF(ISNUMBER(Datos!Q17),Datos!Q17," - ")</f>
        <v>5</v>
      </c>
      <c r="D17" s="407">
        <f>IF(ISNUMBER(Datos!R17),Datos!R17," - ")</f>
        <v>202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6</v>
      </c>
      <c r="C19" s="850">
        <f>SUBTOTAL(9,C15:C18)</f>
        <v>5</v>
      </c>
      <c r="D19" s="848">
        <f>SUBTOTAL(9,D15:D18)</f>
        <v>202</v>
      </c>
    </row>
    <row r="20" spans="1:4" ht="16.5" customHeight="1" thickTop="1" thickBot="1">
      <c r="A20" s="790" t="str">
        <f>Datos!A20</f>
        <v>TOTAL JURISDICCIONES</v>
      </c>
      <c r="B20" s="795">
        <f>SUBTOTAL(9,B8:B19)</f>
        <v>547</v>
      </c>
      <c r="C20" s="796">
        <f>SUBTOTAL(9,C8:C19)</f>
        <v>447</v>
      </c>
      <c r="D20" s="797">
        <f>SUBTOTAL(9,D8:D19)</f>
        <v>5808</v>
      </c>
    </row>
    <row r="21" spans="1:4" ht="7.5" customHeight="1"/>
    <row r="22" spans="1:4" ht="6" customHeight="1"/>
    <row r="23" spans="1:4">
      <c r="A23" s="390" t="str">
        <f>Criterios!A4</f>
        <v>Fecha Informe: 18 jun. 2026</v>
      </c>
    </row>
    <row r="28" spans="1:4">
      <c r="A28" s="413"/>
    </row>
  </sheetData>
  <sheetProtection algorithmName="SHA-512" hashValue="a42tGRI3+dSTBzYZpWbByStoi5L6DUArFSoluv2thN6t10hurRfavDqtiLABJafcq0WGW9nolxqaPxGCoSF5yQ==" saltValue="p47R5h2J+gIDGBpS5v7l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SANTA COLOMA DE FARNERS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0.10852713178294573</v>
      </c>
      <c r="C10" s="455">
        <f>IF(ISNUMBER((Datos!J10-Datos!T10)/Datos!T10),(Datos!J10-Datos!T10)/Datos!T10," - ")</f>
        <v>0.29411764705882354</v>
      </c>
      <c r="D10" s="455">
        <f>IF(ISNUMBER((Datos!K10-Datos!U10)/Datos!U10),(Datos!K10-Datos!U10)/Datos!U10," - ")</f>
        <v>-0.17647058823529413</v>
      </c>
      <c r="E10" s="455">
        <f>IF(ISNUMBER((Datos!L10-Datos!V10)/Datos!V10),(Datos!L10-Datos!V10)/Datos!V10," - ")</f>
        <v>0.17054263565891473</v>
      </c>
      <c r="F10" s="455">
        <f>IF(ISNUMBER((Datos!M10-Datos!W10)/Datos!W10),(Datos!M10-Datos!W10)/Datos!W10," - ")</f>
        <v>0</v>
      </c>
      <c r="G10" s="456">
        <f>IF(ISNUMBER((Datos!N10-Datos!X10)/Datos!X10),(Datos!N10-Datos!X10)/Datos!X10," - ")</f>
        <v>-0.44444444444444442</v>
      </c>
      <c r="H10" s="454">
        <f>IF(ISNUMBER(((NºAsuntos!G10/NºAsuntos!E10)-Datos!BD10)/Datos!BD10),((NºAsuntos!G10/NºAsuntos!E10)-Datos!BD10)/Datos!BD10," - ")</f>
        <v>-0.36363636363636365</v>
      </c>
      <c r="I10" s="455">
        <f>IF(ISNUMBER(((NºAsuntos!I10/NºAsuntos!G10)-Datos!BE10)/Datos!BE10),((NºAsuntos!I10/NºAsuntos!G10)-Datos!BE10)/Datos!BE10," - ")</f>
        <v>0.42137320044296805</v>
      </c>
      <c r="J10" s="460">
        <f>IF(ISNUMBER((('Resol  Asuntos'!D10/NºAsuntos!G10)-Datos!BF10)/Datos!BF10),(('Resol  Asuntos'!D10/NºAsuntos!G10)-Datos!BF10)/Datos!BF10," - ")</f>
        <v>0.21428571428571425</v>
      </c>
      <c r="K10" s="461">
        <f>IF(ISNUMBER((((NºAsuntos!C10+NºAsuntos!E10)/NºAsuntos!G10)-Datos!BG10)/Datos!BG10),(((NºAsuntos!C10+NºAsuntos!E10)/NºAsuntos!G10)-Datos!BG10)/Datos!BG10," - ")</f>
        <v>0.37230919765166354</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-0.18148216595823322</v>
      </c>
      <c r="C12" s="455">
        <f>IF(ISNUMBER(
   IF(J_V="SI",(Datos!J12-Datos!T12)/Datos!T12,(Datos!J12+Datos!Z12-(Datos!T12+Datos!AH12))/(Datos!T12+Datos!AH12))
     ),IF(J_V="SI",(Datos!J12-Datos!T12)/Datos!T12,(Datos!J12+Datos!Z12-(Datos!T12+Datos!AH12))/(Datos!T12+Datos!AH12))," - ")</f>
        <v>-0.40592255125284737</v>
      </c>
      <c r="D12" s="455">
        <f>IF(ISNUMBER(
   IF(J_V="SI",(Datos!K12-Datos!U12)/Datos!U12,(Datos!K12+Datos!AA12-(Datos!U12+Datos!AI12))/(Datos!U12+Datos!AI12))
     ),IF(J_V="SI",(Datos!K12-Datos!U12)/Datos!U12,(Datos!K12+Datos!AA12-(Datos!U12+Datos!AI12))/(Datos!U12+Datos!AI12))," - ")</f>
        <v>-0.27228070175438596</v>
      </c>
      <c r="E12" s="455">
        <f>IF(ISNUMBER(
   IF(J_V="SI",(Datos!L12-Datos!V12)/Datos!V12,(Datos!L12+Datos!AB12-(Datos!V12+Datos!AJ12))/(Datos!V12+Datos!AJ12))
     ),IF(J_V="SI",(Datos!L12-Datos!V12)/Datos!V12,(Datos!L12+Datos!AB12-(Datos!V12+Datos!AJ12))/(Datos!V12+Datos!AJ12))," - ")</f>
        <v>-0.24025238634525159</v>
      </c>
      <c r="F12" s="455">
        <f>IF(ISNUMBER((Datos!M12-Datos!W12)/Datos!W12),(Datos!M12-Datos!W12)/Datos!W12," - ")</f>
        <v>-0.60708263069139967</v>
      </c>
      <c r="G12" s="456">
        <f>IF(ISNUMBER((Datos!N12-Datos!X12)/Datos!X12),(Datos!N12-Datos!X12)/Datos!X12," - ")</f>
        <v>-0.13479052823315119</v>
      </c>
      <c r="H12" s="454">
        <f>IF(ISNUMBER(((NºAsuntos!G12/NºAsuntos!E12)-Datos!BD12)/Datos!BD12),((NºAsuntos!G12/NºAsuntos!E12)-Datos!BD12)/Datos!BD12," - ")</f>
        <v>0.22495694758368312</v>
      </c>
      <c r="I12" s="455">
        <f>IF(ISNUMBER(((NºAsuntos!I12/NºAsuntos!G12)-Datos!BE12)/Datos!BE12),((NºAsuntos!I12/NºAsuntos!G12)-Datos!BE12)/Datos!BE12," - ")</f>
        <v>4.4011908831259876E-2</v>
      </c>
      <c r="J12" s="460">
        <f>IF(ISNUMBER((('Resol  Asuntos'!D12/NºAsuntos!G12)-Datos!BF12)/Datos!BF12),(('Resol  Asuntos'!D12/NºAsuntos!G12)-Datos!BF12)/Datos!BF12," - ")</f>
        <v>-0.4167970870154028</v>
      </c>
      <c r="K12" s="461">
        <f>IF(ISNUMBER((((NºAsuntos!C12+NºAsuntos!E12)/NºAsuntos!G12)-Datos!BG12)/Datos!BG12),(((NºAsuntos!C12+NºAsuntos!E12)/NºAsuntos!G12)-Datos!BG12)/Datos!BG12," - ")</f>
        <v>3.5766185706812691E-2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-0.17472924187725633</v>
      </c>
      <c r="C13" s="852">
        <f>IF(ISNUMBER(
   IF(J_V="SI",(Datos!J13-Datos!T13)/Datos!T13,(Datos!J13+Datos!Z13-(Datos!T13+Datos!AH13))/(Datos!T13+Datos!AH13))
     ),IF(J_V="SI",(Datos!J13-Datos!T13)/Datos!T13,(Datos!J13+Datos!Z13-(Datos!T13+Datos!AH13))/(Datos!T13+Datos!AH13))," - ")</f>
        <v>-0.40054249547920434</v>
      </c>
      <c r="D13" s="852">
        <f>IF(ISNUMBER(
   IF(J_V="SI",(Datos!K13-Datos!U13)/Datos!U13,(Datos!K13+Datos!AA13-(Datos!U13+Datos!AI13))/(Datos!U13+Datos!AI13))
     ),IF(J_V="SI",(Datos!K13-Datos!U13)/Datos!U13,(Datos!K13+Datos!AA13-(Datos!U13+Datos!AI13))/(Datos!U13+Datos!AI13))," - ")</f>
        <v>-0.2711511789181692</v>
      </c>
      <c r="E13" s="852">
        <f>IF(ISNUMBER(
   IF(J_V="SI",(Datos!L13-Datos!V13)/Datos!V13,(Datos!L13+Datos!AB13-(Datos!V13+Datos!AJ13))/(Datos!V13+Datos!AJ13))
     ),IF(J_V="SI",(Datos!L13-Datos!V13)/Datos!V13,(Datos!L13+Datos!AB13-(Datos!V13+Datos!AJ13))/(Datos!V13+Datos!AJ13))," - ")</f>
        <v>-0.2318541996830428</v>
      </c>
      <c r="F13" s="853">
        <f>IF(ISNUMBER((Datos!M13-Datos!W13)/Datos!W13),(Datos!M13-Datos!W13)/Datos!W13," - ")</f>
        <v>-0.60301507537688437</v>
      </c>
      <c r="G13" s="854">
        <f>IF(ISNUMBER((Datos!N13-Datos!X13)/Datos!X13),(Datos!N13-Datos!X13)/Datos!X13," - ")</f>
        <v>-0.13978494623655913</v>
      </c>
      <c r="H13" s="854">
        <f>IF(ISNUMBER(((NºAsuntos!G13/NºAsuntos!E13)-Datos!BD13)/Datos!BD13),((NºAsuntos!G13/NºAsuntos!E13)-Datos!BD13)/Datos!BD13," - ")</f>
        <v>0.21584735462519575</v>
      </c>
      <c r="I13" s="854">
        <f>IF(ISNUMBER(((NºAsuntos!I13/NºAsuntos!G13)-Datos!BE13)/Datos!BE13),((NºAsuntos!I13/NºAsuntos!G13)-Datos!BE13)/Datos!BE13," - ")</f>
        <v>5.3916502432970664E-2</v>
      </c>
      <c r="J13" s="854">
        <f>IF(ISNUMBER((('Resol  Asuntos'!D13/NºAsuntos!G13)-Datos!BF13)/Datos!BF13),(('Resol  Asuntos'!D13/NºAsuntos!G13)-Datos!BF13)/Datos!BF13," - ")</f>
        <v>-0.41198858230256896</v>
      </c>
      <c r="K13" s="854">
        <f>IF(ISNUMBER((((NºAsuntos!C13+NºAsuntos!E13)/NºAsuntos!G13)-Datos!BG13)/Datos!BG13),(((NºAsuntos!C13+NºAsuntos!E13)/NºAsuntos!G13)-Datos!BG13)/Datos!BG13," - ")</f>
        <v>4.388714271827205E-2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0.1732751784298176</v>
      </c>
      <c r="C17" s="455">
        <f>IF(ISNUMBER(
   IF(D_I="SI",(Datos!J17-Datos!T17)/Datos!T17,(Datos!J17+Datos!AD17-(Datos!T17+Datos!AL17))/(Datos!T17+Datos!AL17))
     ),IF(D_I="SI",(Datos!J17-Datos!T17)/Datos!T17,(Datos!J17+Datos!AD17-(Datos!T17+Datos!AL17))/(Datos!T17+Datos!AL17))," - ")</f>
        <v>-0.22358722358722358</v>
      </c>
      <c r="D17" s="455">
        <f>IF(ISNUMBER(
   IF(D_I="SI",(Datos!K17-Datos!U17)/Datos!U17,(Datos!K17+Datos!AE17-(Datos!U17+Datos!AM17))/(Datos!U17+Datos!AM17))
     ),IF(D_I="SI",(Datos!K17-Datos!U17)/Datos!U17,(Datos!K17+Datos!AE17-(Datos!U17+Datos!AM17))/(Datos!U17+Datos!AM17))," - ")</f>
        <v>-2.6833631484794273E-3</v>
      </c>
      <c r="E17" s="455">
        <f>IF(ISNUMBER(
   IF(D_I="SI",(Datos!L17-Datos!V17)/Datos!V17,(Datos!L17+Datos!AF17-(Datos!V17+Datos!AN17))/(Datos!V17+Datos!AN17))
     ),IF(D_I="SI",(Datos!L17-Datos!V17)/Datos!V17,(Datos!L17+Datos!AF17-(Datos!V17+Datos!AN17))/(Datos!V17+Datos!AN17))," - ")</f>
        <v>6.3619047619047617E-2</v>
      </c>
      <c r="F17" s="455">
        <f>IF(ISNUMBER((Datos!M17-Datos!W17)/Datos!W17),(Datos!M17-Datos!W17)/Datos!W17," - ")</f>
        <v>7.8260869565217397E-2</v>
      </c>
      <c r="G17" s="456">
        <f>IF(ISNUMBER((Datos!N17-Datos!X17)/Datos!X17),(Datos!N17-Datos!X17)/Datos!X17," - ")</f>
        <v>2.3319615912208505E-2</v>
      </c>
      <c r="H17" s="454">
        <f>IF(ISNUMBER(((NºAsuntos!G17/NºAsuntos!E17)-Datos!BD17)/Datos!BD17),((NºAsuntos!G17/NºAsuntos!E17)-Datos!BD17)/Datos!BD17," - ")</f>
        <v>0.28451857974230643</v>
      </c>
      <c r="I17" s="455">
        <f>IF(ISNUMBER(((NºAsuntos!I17/NºAsuntos!G17)-Datos!BE17)/Datos!BE17),((NºAsuntos!I17/NºAsuntos!G17)-Datos!BE17)/Datos!BE17," - ")</f>
        <v>6.6480802904121228E-2</v>
      </c>
      <c r="J17" s="460">
        <f>IF(ISNUMBER((('Resol  Asuntos'!D17/NºAsuntos!G17)-Datos!BF17)/Datos!BF17),(('Resol  Asuntos'!D17/NºAsuntos!G17)-Datos!BF17)/Datos!BF17," - ")</f>
        <v>8.1162019886917555E-2</v>
      </c>
      <c r="K17" s="461">
        <f>IF(ISNUMBER((((NºAsuntos!C17+NºAsuntos!E17)/NºAsuntos!G17)-Datos!BG17)/Datos!BG17),(((NºAsuntos!C17+NºAsuntos!E17)/NºAsuntos!G17)-Datos!BG17)/Datos!BG17," - ")</f>
        <v>4.6623592739331608E-2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0.45390070921985815</v>
      </c>
      <c r="C18" s="455">
        <f>IF(ISNUMBER(
   IF(D_I="SI",(Datos!J18-Datos!T18)/Datos!T18,(Datos!J18+Datos!AD18-(Datos!T18+Datos!AL18))/(Datos!T18+Datos!AL18))
     ),IF(D_I="SI",(Datos!J18-Datos!T18)/Datos!T18,(Datos!J18+Datos!AD18-(Datos!T18+Datos!AL18))/(Datos!T18+Datos!AL18))," - ")</f>
        <v>0.38135593220338981</v>
      </c>
      <c r="D18" s="455">
        <f>IF(ISNUMBER(
   IF(D_I="SI",(Datos!K18-Datos!U18)/Datos!U18,(Datos!K18+Datos!AE18-(Datos!U18+Datos!AM18))/(Datos!U18+Datos!AM18))
     ),IF(D_I="SI",(Datos!K18-Datos!U18)/Datos!U18,(Datos!K18+Datos!AE18-(Datos!U18+Datos!AM18))/(Datos!U18+Datos!AM18))," - ")</f>
        <v>0.60784313725490191</v>
      </c>
      <c r="E18" s="455">
        <f>IF(ISNUMBER(
   IF(D_I="SI",(Datos!L18-Datos!V18)/Datos!V18,(Datos!L18+Datos!AF18-(Datos!V18+Datos!AN18))/(Datos!V18+Datos!AN18))
     ),IF(D_I="SI",(Datos!L18-Datos!V18)/Datos!V18,(Datos!L18+Datos!AF18-(Datos!V18+Datos!AN18))/(Datos!V18+Datos!AN18))," - ")</f>
        <v>0.33121019108280253</v>
      </c>
      <c r="F18" s="455">
        <f>IF(ISNUMBER((Datos!M18-Datos!W18)/Datos!W18),(Datos!M18-Datos!W18)/Datos!W18," - ")</f>
        <v>-0.5</v>
      </c>
      <c r="G18" s="456">
        <f>IF(ISNUMBER((Datos!N18-Datos!X18)/Datos!X18),(Datos!N18-Datos!X18)/Datos!X18," - ")</f>
        <v>-5.5555555555555552E-2</v>
      </c>
      <c r="H18" s="454">
        <f>IF(ISNUMBER(((NºAsuntos!G18/NºAsuntos!E18)-Datos!BD18)/Datos!BD18),((NºAsuntos!G18/NºAsuntos!E18)-Datos!BD18)/Datos!BD18," - ")</f>
        <v>0.16396006255262832</v>
      </c>
      <c r="I18" s="455">
        <f>IF(ISNUMBER(((NºAsuntos!I18/NºAsuntos!G18)-Datos!BE18)/Datos!BE18),((NºAsuntos!I18/NºAsuntos!G18)-Datos!BE18)/Datos!BE18," - ")</f>
        <v>-0.17205219822898868</v>
      </c>
      <c r="J18" s="460">
        <f>IF(ISNUMBER((('Resol  Asuntos'!D18/NºAsuntos!G18)-Datos!BF18)/Datos!BF18),(('Resol  Asuntos'!D18/NºAsuntos!G18)-Datos!BF18)/Datos!BF18," - ")</f>
        <v>-0.68902439024390238</v>
      </c>
      <c r="K18" s="461">
        <f>IF(ISNUMBER((((NºAsuntos!C18+NºAsuntos!E18)/NºAsuntos!G18)-Datos!BG18)/Datos!BG18),(((NºAsuntos!C18+NºAsuntos!E18)/NºAsuntos!G18)-Datos!BG18)/Datos!BG18," - ")</f>
        <v>-0.11630096995950641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0.18813368381524595</v>
      </c>
      <c r="C19" s="852">
        <f>IF(ISNUMBER(
   IF(Criterios!B14="SI",(Datos!J19-Datos!T19)/Datos!T19,(Datos!J19+Datos!AD19-(Datos!T19+Datos!AL19))/(Datos!T19+Datos!AL19))
     ),IF(Criterios!B14="SI",(Datos!J19-Datos!T19)/Datos!T19,(Datos!J19+Datos!AD19-(Datos!T19+Datos!AL19))/(Datos!T19+Datos!AL19))," - ")</f>
        <v>-0.17027632561613143</v>
      </c>
      <c r="D19" s="852">
        <f>IF(ISNUMBER(
   IF(Criterios!B14="SI",(Datos!K19-Datos!U19)/Datos!U19,(Datos!K19+Datos!AE19-(Datos!U19+Datos!AM19))/(Datos!U19+Datos!AM19))
     ),IF(Criterios!B14="SI",(Datos!K19-Datos!U19)/Datos!U19,(Datos!K19+Datos!AE19-(Datos!U19+Datos!AM19))/(Datos!U19+Datos!AM19))," - ")</f>
        <v>4.836065573770492E-2</v>
      </c>
      <c r="E19" s="852">
        <f>IF(ISNUMBER(
   IF(Criterios!B14="SI",(Datos!L19-Datos!V19)/Datos!V19,(Datos!L19+Datos!AF19-(Datos!V19+Datos!AN19))/(Datos!V19+Datos!AN19))
     ),IF(Criterios!B14="SI",(Datos!L19-Datos!V19)/Datos!V19,(Datos!L19+Datos!AF19-(Datos!V19+Datos!AN19))/(Datos!V19+Datos!AN19))," - ")</f>
        <v>7.8720345075485268E-2</v>
      </c>
      <c r="F19" s="853">
        <f>IF(ISNUMBER((Datos!M19-Datos!W19)/Datos!W19),(Datos!M19-Datos!W19)/Datos!W19," - ")</f>
        <v>5.8823529411764705E-2</v>
      </c>
      <c r="G19" s="854">
        <f>IF(ISNUMBER((Datos!N19-Datos!X19)/Datos!X19),(Datos!N19-Datos!X19)/Datos!X19," - ")</f>
        <v>1.7879948914431672E-2</v>
      </c>
      <c r="H19" s="854">
        <f>IF(ISNUMBER(((NºAsuntos!G19/NºAsuntos!E19)-Datos!BD19)/Datos!BD19),((NºAsuntos!G19/NºAsuntos!E19)-Datos!BD19)/Datos!BD19," - ")</f>
        <v>0.26350577680718879</v>
      </c>
      <c r="I19" s="854">
        <f>IF(ISNUMBER(((NºAsuntos!I19/NºAsuntos!G19)-Datos!BE19)/Datos!BE19),((NºAsuntos!I19/NºAsuntos!G19)-Datos!BE19)/Datos!BE19," - ")</f>
        <v>2.8959203277632573E-2</v>
      </c>
      <c r="J19" s="854">
        <f>IF(ISNUMBER((('Resol  Asuntos'!D19/NºAsuntos!G19)-Datos!BF19)/Datos!BF19),(('Resol  Asuntos'!D19/NºAsuntos!G19)-Datos!BF19)/Datos!BF19," - ")</f>
        <v>9.9802235202134833E-3</v>
      </c>
      <c r="K19" s="854">
        <f>IF(ISNUMBER((((NºAsuntos!C19+NºAsuntos!E19)/NºAsuntos!G19)-Datos!BG19)/Datos!BG19),(((NºAsuntos!C19+NºAsuntos!E19)/NºAsuntos!G19)-Datos!BG19)/Datos!BG19," - ")</f>
        <v>1.8939318456487088E-2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-5.6930391320248692E-2</v>
      </c>
      <c r="C20" s="799">
        <f>IF(ISNUMBER(
   IF(J_V="SI",(Datos!J20-Datos!T20)/Datos!T20,(Datos!J20+Datos!Z20-(Datos!T20+Datos!AH20))/(Datos!T20+Datos!AH20))
     ),IF(J_V="SI",(Datos!J20-Datos!T20)/Datos!T20,(Datos!J20+Datos!Z20-(Datos!T20+Datos!AH20))/(Datos!T20+Datos!AH20))," - ")</f>
        <v>-0.31371444663475079</v>
      </c>
      <c r="D20" s="799">
        <f>IF(ISNUMBER(
   IF(J_V="SI",(Datos!K20-Datos!U20)/Datos!U20,(Datos!K20+Datos!AA20-(Datos!U20+Datos!AI20))/(Datos!U20+Datos!AI20))
     ),IF(J_V="SI",(Datos!K20-Datos!U20)/Datos!U20,(Datos!K20+Datos!AA20-(Datos!U20+Datos!AI20))/(Datos!U20+Datos!AI20))," - ")</f>
        <v>-0.1247182569496619</v>
      </c>
      <c r="E20" s="799">
        <f>IF(ISNUMBER(
   IF(J_V="SI",(Datos!L20-Datos!V20)/Datos!V20,(Datos!L20+Datos!AB20-(Datos!V20+Datos!AJ20))/(Datos!V20+Datos!AJ20))
     ),IF(J_V="SI",(Datos!L20-Datos!V20)/Datos!V20,(Datos!L20+Datos!AB20-(Datos!V20+Datos!AJ20))/(Datos!V20+Datos!AJ20))," - ")</f>
        <v>-0.13682358117025956</v>
      </c>
      <c r="F20" s="800">
        <f>IF(ISNUMBER((Datos!M20-Datos!W20)/Datos!W20),(Datos!M20-Datos!W20)/Datos!W20," - ")</f>
        <v>-0.49301675977653631</v>
      </c>
      <c r="G20" s="801">
        <f>IF(ISNUMBER((Datos!N20-Datos!X20)/Datos!X20),(Datos!N20-Datos!X20)/Datos!X20," - ")</f>
        <v>-4.7725577926920205E-2</v>
      </c>
      <c r="H20" s="802">
        <f>IF(ISNUMBER((Tasas!B20-Datos!BD20)/Datos!BD20),(Tasas!B20-Datos!BD20)/Datos!BD20," - ")</f>
        <v>0.27539001623789516</v>
      </c>
      <c r="I20" s="803">
        <f>IF(ISNUMBER((Tasas!C20-Datos!BE20)/Datos!BE20),(Tasas!C20-Datos!BE20)/Datos!BE20," - ")</f>
        <v>-1.3830203036579922E-2</v>
      </c>
      <c r="J20" s="804">
        <f>IF(ISNUMBER((Tasas!D20-Datos!BF20)/Datos!BF20),(Tasas!D20-Datos!BF20)/Datos!BF20," - ")</f>
        <v>-0.38285177805027598</v>
      </c>
      <c r="K20" s="804">
        <f>IF(ISNUMBER((Tasas!E20-Datos!BG20)/Datos!BG20),(Tasas!E20-Datos!BG20)/Datos!BG20," - ")</f>
        <v>-1.1183992884168386E-2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139AfPtH+ggVhS611jHtmRIeE95Ym8UlIGsJzu34CHJCA1u24Q2FHlGTCdtLGl7aaTP9JG+89kSG1EZmxNK9pQ==" saltValue="0k7tLeVA78YqFa1w/OA4l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SANTA COLOMA DE FARNERS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0.63636363636363635</v>
      </c>
      <c r="C10" s="442">
        <f>IF(ISNUMBER(NºAsuntos!I10/NºAsuntos!G10),NºAsuntos!I10/NºAsuntos!G10," - ")</f>
        <v>10.785714285714286</v>
      </c>
      <c r="D10" s="443">
        <f>IF(ISNUMBER('Resol  Asuntos'!D10/NºAsuntos!G10),'Resol  Asuntos'!D10/NºAsuntos!G10," - ")</f>
        <v>0.2857142857142857</v>
      </c>
      <c r="E10" s="444">
        <f>IF(ISNUMBER((NºAsuntos!C10+NºAsuntos!E10)/NºAsuntos!G10),(NºAsuntos!C10+NºAsuntos!E10)/NºAsuntos!G10," - ")</f>
        <v>11.785714285714286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0.79524539877300615</v>
      </c>
      <c r="C12" s="442">
        <f>IF(ISNUMBER(NºAsuntos!I12/NºAsuntos!G12),NºAsuntos!I12/NºAsuntos!G12," - ")</f>
        <v>4.528447444551591</v>
      </c>
      <c r="D12" s="443">
        <f>IF(ISNUMBER('Resol  Asuntos'!D12/NºAsuntos!G12),'Resol  Asuntos'!D12/NºAsuntos!G12," - ")</f>
        <v>0.22468659594985535</v>
      </c>
      <c r="E12" s="444">
        <f>IF(ISNUMBER((NºAsuntos!C12+NºAsuntos!E12)/NºAsuntos!G12),(NºAsuntos!C12+NºAsuntos!E12)/NºAsuntos!G12," - ")</f>
        <v>5.528447444551591</v>
      </c>
      <c r="G12" s="462"/>
    </row>
    <row r="13" spans="1:7" ht="14.25" thickTop="1" thickBot="1">
      <c r="A13" s="845" t="str">
        <f>Datos!A13</f>
        <v>TOTAL</v>
      </c>
      <c r="B13" s="855">
        <f>IF(ISNUMBER(NºAsuntos!G13/NºAsuntos!E13),NºAsuntos!G13/NºAsuntos!E13," - ")</f>
        <v>0.7926093514328808</v>
      </c>
      <c r="C13" s="856">
        <f>IF(ISNUMBER(NºAsuntos!I13/NºAsuntos!G13),NºAsuntos!I13/NºAsuntos!G13," - ")</f>
        <v>4.6117982873453851</v>
      </c>
      <c r="D13" s="857">
        <f>IF(ISNUMBER('Resol  Asuntos'!D13/NºAsuntos!G13),'Resol  Asuntos'!D13/NºAsuntos!G13," - ")</f>
        <v>0.22549952426260705</v>
      </c>
      <c r="E13" s="858">
        <f>IF(ISNUMBER((NºAsuntos!C13+NºAsuntos!E13)/NºAsuntos!G13),(NºAsuntos!C13+NºAsuntos!E13)/NºAsuntos!G13," - ")</f>
        <v>5.6117982873453851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1.1761603375527425</v>
      </c>
      <c r="C17" s="442">
        <f>IF(ISNUMBER(NºAsuntos!I17/NºAsuntos!G17),NºAsuntos!I17/NºAsuntos!G17," - ")</f>
        <v>2.5040358744394617</v>
      </c>
      <c r="D17" s="443">
        <f>IF(ISNUMBER('Resol  Asuntos'!D17/NºAsuntos!G17),'Resol  Asuntos'!D17/NºAsuntos!G17," - ")</f>
        <v>0.11121076233183856</v>
      </c>
      <c r="E17" s="444">
        <f>IF(ISNUMBER((NºAsuntos!C17+NºAsuntos!E17)/NºAsuntos!G17),(NºAsuntos!C17+NºAsuntos!E17)/NºAsuntos!G17," - ")</f>
        <v>3.5040358744394617</v>
      </c>
      <c r="G17" s="462"/>
    </row>
    <row r="18" spans="1:7" ht="21.75" thickBot="1">
      <c r="A18" s="401" t="str">
        <f>Datos!A18</f>
        <v>Sección De Violencia sobre la Mujer del TI</v>
      </c>
      <c r="B18" s="441">
        <f>IF(ISNUMBER(NºAsuntos!G18/NºAsuntos!E18),NºAsuntos!G18/NºAsuntos!E18," - ")</f>
        <v>1.0061349693251533</v>
      </c>
      <c r="C18" s="442">
        <f>IF(ISNUMBER(NºAsuntos!I18/NºAsuntos!G18),NºAsuntos!I18/NºAsuntos!G18," - ")</f>
        <v>1.274390243902439</v>
      </c>
      <c r="D18" s="443">
        <f>IF(ISNUMBER('Resol  Asuntos'!D18/NºAsuntos!G18),'Resol  Asuntos'!D18/NºAsuntos!G18," - ")</f>
        <v>1.2195121951219513E-2</v>
      </c>
      <c r="E18" s="444">
        <f>IF(ISNUMBER((NºAsuntos!C18+NºAsuntos!E18)/NºAsuntos!G18),(NºAsuntos!C18+NºAsuntos!E18)/NºAsuntos!G18," - ")</f>
        <v>2.2439024390243905</v>
      </c>
      <c r="G18" s="462"/>
    </row>
    <row r="19" spans="1:7" ht="14.25" thickTop="1" thickBot="1">
      <c r="A19" s="845" t="str">
        <f>Datos!A19</f>
        <v>TOTAL</v>
      </c>
      <c r="B19" s="855">
        <f>IF(ISNUMBER(NºAsuntos!G19/NºAsuntos!E19),NºAsuntos!G19/NºAsuntos!E19," - ")</f>
        <v>1.1512151215121511</v>
      </c>
      <c r="C19" s="856">
        <f>IF(ISNUMBER(NºAsuntos!I19/NºAsuntos!G19),NºAsuntos!I19/NºAsuntos!G19," - ")</f>
        <v>2.3463643471462081</v>
      </c>
      <c r="D19" s="859">
        <f>IF(ISNUMBER('Resol  Asuntos'!D19/NºAsuntos!G19),'Resol  Asuntos'!D19/NºAsuntos!G19," - ")</f>
        <v>9.8514464425332293E-2</v>
      </c>
      <c r="E19" s="858">
        <f>IF(ISNUMBER((NºAsuntos!C19+NºAsuntos!E19)/NºAsuntos!G19),(NºAsuntos!C19+NºAsuntos!E19)/NºAsuntos!G19," - ")</f>
        <v>3.3424550430023454</v>
      </c>
      <c r="G19" s="462"/>
    </row>
    <row r="20" spans="1:7" ht="15.75" customHeight="1" thickTop="1" thickBot="1">
      <c r="A20" s="790" t="str">
        <f>Datos!A20</f>
        <v>TOTAL JURISDICCIONES</v>
      </c>
      <c r="B20" s="805">
        <f>IF(ISNUMBER(NºAsuntos!G20/NºAsuntos!E20),NºAsuntos!G20/NºAsuntos!E20," - ")</f>
        <v>0.95609355765285187</v>
      </c>
      <c r="C20" s="806">
        <f>IF(ISNUMBER(NºAsuntos!I20/NºAsuntos!G20),NºAsuntos!I20/NºAsuntos!G20," - ")</f>
        <v>3.3682403433476393</v>
      </c>
      <c r="D20" s="807">
        <f>IF(ISNUMBER('Resol  Asuntos'!D20/NºAsuntos!G20),'Resol  Asuntos'!D20/NºAsuntos!G20," - ")</f>
        <v>0.15579399141630901</v>
      </c>
      <c r="E20" s="808">
        <f>IF(ISNUMBER((NºAsuntos!C20+NºAsuntos!E20)/NºAsuntos!G20),(NºAsuntos!C20+NºAsuntos!E20)/NºAsuntos!G20," - ")</f>
        <v>4.3660944206008585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wpvhIoxE5fXAceNd67LTZllsjdApArjhQK8bK6S75xmehpoC1vDqZqJBhxflouuUnvfZkDhw0ZNFN0Jv/J6YEA==" saltValue="y9xjd+gbvik2oeDq1B279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SANTA COLOMA DE FARNERS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143</v>
      </c>
      <c r="G10" s="332">
        <f>IF(ISNUMBER(Datos!I10),Datos!I10," - ")</f>
        <v>143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14</v>
      </c>
      <c r="X10" s="225">
        <f>IF(ISNUMBER(Datos!Q10),Datos!Q10," - ")</f>
        <v>0</v>
      </c>
      <c r="Y10" s="333">
        <f t="shared" ref="Y10:Y12" si="0">SUM(W10:X10)</f>
        <v>14</v>
      </c>
      <c r="Z10" s="334" t="str">
        <f>IF(ISNUMBER(Datos!CC10),Datos!CC10," - ")</f>
        <v xml:space="preserve"> - </v>
      </c>
      <c r="AA10" s="331">
        <f>IF(ISNUMBER(Datos!L10),Datos!L10,"-")</f>
        <v>151</v>
      </c>
      <c r="AB10" s="333">
        <f>IF(ISNUMBER(Datos!R10),Datos!R10," - ")</f>
        <v>74</v>
      </c>
      <c r="AC10" s="333">
        <f t="shared" ref="AC10:AC12" si="1">IF(ISNUMBER(AA10+AB10),AA10+AB10," - ")</f>
        <v>225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0.63636363636363635</v>
      </c>
      <c r="AM10" s="259">
        <f>IF(ISNUMBER(((NºAsuntos!I10/NºAsuntos!G10)*11)/factor_trimestre),((NºAsuntos!I10/NºAsuntos!G10)*11)/factor_trimestre," - ")</f>
        <v>32.357142857142861</v>
      </c>
      <c r="AN10" s="243">
        <f>IF(ISNUMBER('Resol  Asuntos'!D10/NºAsuntos!G10),'Resol  Asuntos'!D10/NºAsuntos!G10," - ")</f>
        <v>0.2857142857142857</v>
      </c>
      <c r="AO10" s="244">
        <f>IF(ISNUMBER((NºAsuntos!C10+NºAsuntos!E10)/NºAsuntos!G10),(NºAsuntos!C10+NºAsuntos!E10)/NºAsuntos!G10," - ")</f>
        <v>11.785714285714286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442</v>
      </c>
      <c r="Y12" s="333">
        <f t="shared" si="0"/>
        <v>442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5532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233</v>
      </c>
      <c r="AJ12" s="228" t="str">
        <f>IF(ISNUMBER(Datos!BW12),Datos!BW12," - ")</f>
        <v xml:space="preserve"> - </v>
      </c>
      <c r="AK12" s="227" t="str">
        <f>IF(ISNUMBER(Datos!BX12),Datos!BX12," - ")</f>
        <v xml:space="preserve"> - </v>
      </c>
      <c r="AL12" s="242">
        <f>IF(ISNUMBER(NºAsuntos!G12/NºAsuntos!E12),NºAsuntos!G12/NºAsuntos!E12," - ")</f>
        <v>0.79524539877300615</v>
      </c>
      <c r="AM12" s="259">
        <f>IF(ISNUMBER(((NºAsuntos!I12/NºAsuntos!G12)*11)/factor_trimestre),((NºAsuntos!I12/NºAsuntos!G12)*11)/factor_trimestre," - ")</f>
        <v>13.585342333654774</v>
      </c>
      <c r="AN12" s="243">
        <f>IF(ISNUMBER('Resol  Asuntos'!D12/NºAsuntos!G12),'Resol  Asuntos'!D12/NºAsuntos!G12," - ")</f>
        <v>0.22468659594985535</v>
      </c>
      <c r="AO12" s="244">
        <f>IF(ISNUMBER((NºAsuntos!C12+NºAsuntos!E12)/NºAsuntos!G12),(NºAsuntos!C12+NºAsuntos!E12)/NºAsuntos!G12," - ")</f>
        <v>5.528447444551591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143</v>
      </c>
      <c r="G13" s="863">
        <f t="shared" si="3"/>
        <v>143</v>
      </c>
      <c r="H13" s="862">
        <f t="shared" si="3"/>
        <v>0</v>
      </c>
      <c r="I13" s="864">
        <f t="shared" si="3"/>
        <v>0</v>
      </c>
      <c r="J13" s="864">
        <f t="shared" si="3"/>
        <v>0</v>
      </c>
      <c r="K13" s="864">
        <f t="shared" si="3"/>
        <v>0</v>
      </c>
      <c r="L13" s="864">
        <f t="shared" si="3"/>
        <v>541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14</v>
      </c>
      <c r="X13" s="864">
        <f t="shared" si="4"/>
        <v>442</v>
      </c>
      <c r="Y13" s="865">
        <f t="shared" si="4"/>
        <v>456</v>
      </c>
      <c r="Z13" s="865">
        <f t="shared" si="4"/>
        <v>0</v>
      </c>
      <c r="AA13" s="865">
        <f t="shared" si="4"/>
        <v>151</v>
      </c>
      <c r="AB13" s="865">
        <f t="shared" si="4"/>
        <v>5606</v>
      </c>
      <c r="AC13" s="865">
        <f t="shared" si="4"/>
        <v>225</v>
      </c>
      <c r="AD13" s="865">
        <f t="shared" si="4"/>
        <v>0</v>
      </c>
      <c r="AE13" s="869">
        <f t="shared" si="4"/>
        <v>0</v>
      </c>
      <c r="AF13" s="862">
        <f t="shared" si="4"/>
        <v>0</v>
      </c>
      <c r="AG13" s="870">
        <f t="shared" si="4"/>
        <v>0</v>
      </c>
      <c r="AH13" s="867">
        <f t="shared" si="4"/>
        <v>0</v>
      </c>
      <c r="AI13" s="862">
        <f t="shared" si="4"/>
        <v>237</v>
      </c>
      <c r="AJ13" s="864">
        <f t="shared" si="4"/>
        <v>0</v>
      </c>
      <c r="AK13" s="867">
        <f>SUBTOTAL(9,AK9:AK12)</f>
        <v>0</v>
      </c>
      <c r="AL13" s="871">
        <f>IF(ISNUMBER(NºAsuntos!G13/NºAsuntos!E13),NºAsuntos!G13/NºAsuntos!E13," - ")</f>
        <v>0.7926093514328808</v>
      </c>
      <c r="AM13" s="871">
        <f>IF(ISNUMBER(((NºAsuntos!I13/NºAsuntos!G13)*11)/factor_trimestre),((NºAsuntos!I13/NºAsuntos!G13)*11)/factor_trimestre," - ")</f>
        <v>13.835394862036155</v>
      </c>
      <c r="AN13" s="872">
        <f>IF(ISNUMBER('Resol  Asuntos'!D13/NºAsuntos!G13),'Resol  Asuntos'!D13/NºAsuntos!G13," - ")</f>
        <v>0.22549952426260705</v>
      </c>
      <c r="AO13" s="873">
        <f>IF(ISNUMBER((NºAsuntos!C13+NºAsuntos!E13)/NºAsuntos!G13),(NºAsuntos!C13+NºAsuntos!E13)/NºAsuntos!G13," - ")</f>
        <v>5.6117982873453851</v>
      </c>
      <c r="AP13" s="874" t="str">
        <f t="shared" si="2"/>
        <v xml:space="preserve"> - </v>
      </c>
      <c r="AQ13" s="874">
        <f>IF(ISNUMBER((H13-W13+K13)/(F13)),(H13-W13+K13)/(F13)," - ")</f>
        <v>-9.7902097902097904E-2</v>
      </c>
      <c r="AR13" s="875">
        <f>IF(ISNUMBER((Datos!P13-Datos!Q13)/(Datos!R13-Datos!P13+Datos!Q13)),(Datos!P13-Datos!Q13)/(Datos!R13-Datos!P13+Datos!Q13)," - ")</f>
        <v>1.7977120029053932E-2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2959</v>
      </c>
      <c r="G17" s="332">
        <f>IF(ISNUMBER(IF(D_I="SI",Datos!I17,Datos!I17+Datos!AC17)),IF(D_I="SI",Datos!I17,Datos!I17+Datos!AC17)," - ")</f>
        <v>2959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1115</v>
      </c>
      <c r="X17" s="225">
        <f>IF(ISNUMBER(Datos!Q17),Datos!Q17," - ")</f>
        <v>5</v>
      </c>
      <c r="Y17" s="333">
        <f t="shared" ref="Y17:Y18" si="9">SUM(W17:X17)</f>
        <v>1120</v>
      </c>
      <c r="Z17" s="334" t="str">
        <f>IF(ISNUMBER(Datos!CC17),Datos!CC17," - ")</f>
        <v xml:space="preserve"> - </v>
      </c>
      <c r="AA17" s="331">
        <f>IF(ISNUMBER(IF(D_I="SI",Datos!L17,Datos!L17+Datos!AF17)),IF(D_I="SI",Datos!L17,Datos!L17+Datos!AF17)," - ")</f>
        <v>2792</v>
      </c>
      <c r="AB17" s="333">
        <f>IF(ISNUMBER(Datos!R17),Datos!R17," - ")</f>
        <v>202</v>
      </c>
      <c r="AC17" s="333">
        <f t="shared" si="6"/>
        <v>2994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124</v>
      </c>
      <c r="AJ17" s="230" t="str">
        <f>IF(ISNUMBER(Datos!BW17),Datos!BW17," - ")</f>
        <v xml:space="preserve"> - </v>
      </c>
      <c r="AK17" s="231" t="str">
        <f>IF(ISNUMBER(Datos!BX17),Datos!BX17," - ")</f>
        <v xml:space="preserve"> - </v>
      </c>
      <c r="AL17" s="242">
        <f>IF(ISNUMBER(NºAsuntos!G17/NºAsuntos!E17),NºAsuntos!G17/NºAsuntos!E17," - ")</f>
        <v>1.1761603375527425</v>
      </c>
      <c r="AM17" s="259">
        <f>IF(ISNUMBER(((NºAsuntos!I17/NºAsuntos!G17)*11)/factor_trimestre),((NºAsuntos!I17/NºAsuntos!G17)*11)/factor_trimestre," - ")</f>
        <v>7.5121076233183857</v>
      </c>
      <c r="AN17" s="243">
        <f>IF(ISNUMBER('Resol  Asuntos'!D17/NºAsuntos!G17),'Resol  Asuntos'!D17/NºAsuntos!G17," - ")</f>
        <v>0.11121076233183856</v>
      </c>
      <c r="AO17" s="244">
        <f>IF(ISNUMBER((NºAsuntos!C17+NºAsuntos!E17)/NºAsuntos!G17),(NºAsuntos!C17+NºAsuntos!E17)/NºAsuntos!G17," - ")</f>
        <v>3.5040358744394617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205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164</v>
      </c>
      <c r="X18" s="225">
        <f>IF(ISNUMBER(Datos!Q18),Datos!Q18," - ")</f>
        <v>0</v>
      </c>
      <c r="Y18" s="333">
        <f t="shared" si="9"/>
        <v>164</v>
      </c>
      <c r="Z18" s="334" t="str">
        <f>IF(ISNUMBER(Datos!CC18),Datos!CC18," - ")</f>
        <v xml:space="preserve"> - </v>
      </c>
      <c r="AA18" s="331">
        <f>IF(ISNUMBER(Datos!L18),Datos!L18,"-")</f>
        <v>209</v>
      </c>
      <c r="AB18" s="333">
        <f>IF(ISNUMBER(Datos!R18),Datos!R18," - ")</f>
        <v>0</v>
      </c>
      <c r="AC18" s="333">
        <f t="shared" si="6"/>
        <v>209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1.0061349693251533</v>
      </c>
      <c r="AM18" s="259">
        <f>IF(ISNUMBER(((NºAsuntos!I18/NºAsuntos!G18)*11)/factor_trimestre),((NºAsuntos!I18/NºAsuntos!G18)*11)/factor_trimestre," - ")</f>
        <v>3.8231707317073176</v>
      </c>
      <c r="AN18" s="243">
        <f>IF(ISNUMBER('Resol  Asuntos'!D18/NºAsuntos!G18),'Resol  Asuntos'!D18/NºAsuntos!G18," - ")</f>
        <v>1.2195121951219513E-2</v>
      </c>
      <c r="AO18" s="244">
        <f>IF(ISNUMBER((NºAsuntos!C18+NºAsuntos!E18)/NºAsuntos!G18),(NºAsuntos!C18+NºAsuntos!E18)/NºAsuntos!G18," - ")</f>
        <v>2.2439024390243905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2959</v>
      </c>
      <c r="G19" s="863">
        <f>SUBTOTAL(9,G15:G18)</f>
        <v>3164</v>
      </c>
      <c r="H19" s="862">
        <f t="shared" ref="H19:O19" si="12">SUBTOTAL(9,H14:H18)</f>
        <v>0</v>
      </c>
      <c r="I19" s="864">
        <f t="shared" si="12"/>
        <v>0</v>
      </c>
      <c r="J19" s="864">
        <f t="shared" si="12"/>
        <v>0</v>
      </c>
      <c r="K19" s="864">
        <f t="shared" si="12"/>
        <v>0</v>
      </c>
      <c r="L19" s="864">
        <f t="shared" si="12"/>
        <v>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1279</v>
      </c>
      <c r="X19" s="864">
        <f t="shared" si="13"/>
        <v>5</v>
      </c>
      <c r="Y19" s="865">
        <f t="shared" si="13"/>
        <v>1284</v>
      </c>
      <c r="Z19" s="865">
        <f t="shared" si="13"/>
        <v>0</v>
      </c>
      <c r="AA19" s="865">
        <f t="shared" si="13"/>
        <v>3001</v>
      </c>
      <c r="AB19" s="865">
        <f t="shared" si="13"/>
        <v>202</v>
      </c>
      <c r="AC19" s="865">
        <f t="shared" si="13"/>
        <v>3203</v>
      </c>
      <c r="AD19" s="865">
        <f t="shared" si="13"/>
        <v>0</v>
      </c>
      <c r="AE19" s="869">
        <f t="shared" si="13"/>
        <v>0</v>
      </c>
      <c r="AF19" s="862">
        <f t="shared" si="13"/>
        <v>0</v>
      </c>
      <c r="AG19" s="870">
        <f t="shared" si="13"/>
        <v>0</v>
      </c>
      <c r="AH19" s="867">
        <f t="shared" si="13"/>
        <v>0</v>
      </c>
      <c r="AI19" s="862">
        <f t="shared" si="13"/>
        <v>126</v>
      </c>
      <c r="AJ19" s="864">
        <f t="shared" si="13"/>
        <v>0</v>
      </c>
      <c r="AK19" s="867">
        <f t="shared" si="13"/>
        <v>0</v>
      </c>
      <c r="AL19" s="871">
        <f>IF(ISNUMBER(NºAsuntos!G19/NºAsuntos!E19),NºAsuntos!G19/NºAsuntos!E19," - ")</f>
        <v>1.1512151215121511</v>
      </c>
      <c r="AM19" s="871">
        <f>IF(ISNUMBER(((NºAsuntos!I19/NºAsuntos!G19)*11)/factor_trimestre),((NºAsuntos!I19/NºAsuntos!G19)*11)/factor_trimestre," - ")</f>
        <v>7.0390930414386252</v>
      </c>
      <c r="AN19" s="872">
        <f>IF(ISNUMBER('Resol  Asuntos'!D19/NºAsuntos!G19),'Resol  Asuntos'!D19/NºAsuntos!G19," - ")</f>
        <v>9.8514464425332293E-2</v>
      </c>
      <c r="AO19" s="873">
        <f>IF(ISNUMBER((NºAsuntos!C19+NºAsuntos!E19)/NºAsuntos!G19),(NºAsuntos!C19+NºAsuntos!E19)/NºAsuntos!G19," - ")</f>
        <v>3.3424550430023454</v>
      </c>
      <c r="AP19" s="874" t="str">
        <f t="shared" si="2"/>
        <v xml:space="preserve"> - </v>
      </c>
      <c r="AQ19" s="874">
        <f>IF(ISNUMBER((H19-W19+K19)/(F19)),(H19-W19+K19)/(F19)," - ")</f>
        <v>-0.43224062183169992</v>
      </c>
      <c r="AR19" s="875">
        <f>IF(ISNUMBER((Datos!P19-Datos!Q19)/(Datos!R19-Datos!P19+Datos!Q19)),(Datos!P19-Datos!Q19)/(Datos!R19-Datos!P19+Datos!Q19)," - ")</f>
        <v>4.9751243781094526E-3</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3102</v>
      </c>
      <c r="G20" s="818">
        <f t="shared" si="15"/>
        <v>3307</v>
      </c>
      <c r="H20" s="817">
        <f t="shared" si="15"/>
        <v>0</v>
      </c>
      <c r="I20" s="819">
        <f t="shared" si="15"/>
        <v>0</v>
      </c>
      <c r="J20" s="819">
        <f t="shared" si="15"/>
        <v>0</v>
      </c>
      <c r="K20" s="878">
        <f t="shared" si="15"/>
        <v>0</v>
      </c>
      <c r="L20" s="819">
        <f t="shared" si="15"/>
        <v>547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1293</v>
      </c>
      <c r="X20" s="818">
        <f t="shared" si="16"/>
        <v>447</v>
      </c>
      <c r="Y20" s="825">
        <f t="shared" si="16"/>
        <v>1740</v>
      </c>
      <c r="Z20" s="825">
        <f t="shared" si="16"/>
        <v>0</v>
      </c>
      <c r="AA20" s="825">
        <f t="shared" si="16"/>
        <v>3152</v>
      </c>
      <c r="AB20" s="825">
        <f t="shared" si="16"/>
        <v>5808</v>
      </c>
      <c r="AC20" s="825">
        <f t="shared" si="16"/>
        <v>3428</v>
      </c>
      <c r="AD20" s="825">
        <f t="shared" si="16"/>
        <v>0</v>
      </c>
      <c r="AE20" s="827">
        <f t="shared" si="16"/>
        <v>0</v>
      </c>
      <c r="AF20" s="828">
        <f t="shared" si="16"/>
        <v>0</v>
      </c>
      <c r="AG20" s="829">
        <f t="shared" si="16"/>
        <v>0</v>
      </c>
      <c r="AH20" s="827">
        <f t="shared" si="16"/>
        <v>0</v>
      </c>
      <c r="AI20" s="817">
        <f t="shared" si="16"/>
        <v>363</v>
      </c>
      <c r="AJ20" s="817">
        <f t="shared" si="16"/>
        <v>0</v>
      </c>
      <c r="AK20" s="827">
        <f t="shared" si="16"/>
        <v>0</v>
      </c>
      <c r="AL20" s="881">
        <f>IF(ISNUMBER(NºAsuntos!G20/NºAsuntos!E20),NºAsuntos!G20/NºAsuntos!E20," - ")</f>
        <v>0.95609355765285187</v>
      </c>
      <c r="AM20" s="882">
        <f>IF(ISNUMBER(((NºAsuntos!I20/NºAsuntos!G20)*11)/factor_trimestre),((NºAsuntos!I20/NºAsuntos!G20)*11)/factor_trimestre," - ")</f>
        <v>10.104721030042919</v>
      </c>
      <c r="AN20" s="882">
        <f>IF(ISNUMBER('Resol  Asuntos'!D20/NºAsuntos!G20),'Resol  Asuntos'!D20/NºAsuntos!G20," - ")</f>
        <v>0.15579399141630901</v>
      </c>
      <c r="AO20" s="883">
        <f>IF(ISNUMBER((NºAsuntos!C20+NºAsuntos!E20)/NºAsuntos!G20),(NºAsuntos!C20+NºAsuntos!E20)/NºAsuntos!G20," - ")</f>
        <v>4.3660944206008585</v>
      </c>
      <c r="AP20" s="884" t="str">
        <f t="shared" si="2"/>
        <v xml:space="preserve"> - </v>
      </c>
      <c r="AQ20" s="885">
        <f>IF(OR(ISNUMBER(FIND("01",Criterios!A8,1)),ISNUMBER(FIND("02",Criterios!A8,1)),ISNUMBER(FIND("03",Criterios!A8,1)),ISNUMBER(FIND("04",Criterios!A8,1))),(I20-W20+K20)/(F20-K20),(H20-W20+K20)/(F20-K20))</f>
        <v>-0.41682785299806574</v>
      </c>
      <c r="AR20" s="886">
        <f>IF(ISNUMBER((Datos!P20-Datos!Q20)/(Datos!R20-Datos!P20+Datos!Q20)),(Datos!P20-Datos!Q20)/(Datos!R20-Datos!P20+Datos!Q20)," - ")</f>
        <v>1.751927119831815E-2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1322.8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1625.8183580379862</v>
      </c>
      <c r="G22" s="252">
        <f>IF(ISNUMBER(STDEV(G8:G19)),STDEV(G8:G19),"-")</f>
        <v>1589.0642529488857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626.27366222762396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103.8113673929787</v>
      </c>
      <c r="AJ22" s="251">
        <f t="shared" si="20"/>
        <v>0</v>
      </c>
      <c r="AK22" s="253">
        <f t="shared" si="20"/>
        <v>0</v>
      </c>
      <c r="AL22" s="248">
        <f t="shared" si="20"/>
        <v>0.21840431068325281</v>
      </c>
      <c r="AM22" s="249">
        <f t="shared" si="20"/>
        <v>10.25279665577815</v>
      </c>
      <c r="AN22" s="249">
        <f t="shared" si="20"/>
        <v>0.10225945067388768</v>
      </c>
      <c r="AO22" s="250">
        <f t="shared" si="20"/>
        <v>3.4235448424185924</v>
      </c>
      <c r="AP22" s="290" t="str">
        <f t="shared" si="20"/>
        <v>-</v>
      </c>
      <c r="AQ22" s="291">
        <f t="shared" si="20"/>
        <v>0.23641303748252243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5XJjvGh0dysbnW6HWlEZFmaG66FHbvNi+G4PIUYTabYbEIs+o4AEFZ+CUSnEQycvutATSjBRhUlAVfxHmsTzA==" saltValue="HGZ+b4z/MZiSAF3fvBPEm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SANTA COLOMA DE FARNERS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0.10852713178294573</v>
      </c>
      <c r="E10" s="347">
        <f>IF(ISNUMBER((Datos!J10-Datos!T10)/Datos!T10),(Datos!J10-Datos!T10)/Datos!T10," - ")</f>
        <v>0.29411764705882354</v>
      </c>
      <c r="F10" s="347">
        <f>IF(ISNUMBER((Datos!K10-Datos!U10)/Datos!U10),(Datos!K10-Datos!U10)/Datos!U10," - ")</f>
        <v>-0.17647058823529413</v>
      </c>
      <c r="G10" s="348">
        <f>IF(ISNUMBER((Datos!L10-Datos!V10)/Datos!V10),(Datos!L10-Datos!V10)/Datos!V10," - ")</f>
        <v>0.17054263565891473</v>
      </c>
      <c r="H10" s="229">
        <f>IF(ISNUMBER((Datos!M10-Datos!W10)/Datos!W10),(Datos!M10-Datos!W10)/Datos!W10," - ")</f>
        <v>0</v>
      </c>
      <c r="I10" s="349">
        <f>IF(ISNUMBER((Tasas!C10-Datos!BE10)/Datos!BE10),(Tasas!C10-Datos!BE10)/Datos!BE10," - ")</f>
        <v>0.42137320044296805</v>
      </c>
      <c r="J10" s="348">
        <f>IF(ISNUMBER((Tasas!D10-Datos!BF10)/Datos!BF10),(Tasas!D10-Datos!BF10)/Datos!BF10," - ")</f>
        <v>0.21428571428571425</v>
      </c>
      <c r="K10" s="350">
        <f>IF(ISNUMBER((Tasas!E10-Datos!BG10)/Datos!BG10),(Tasas!E10-Datos!BG10)/Datos!BG10," - ")</f>
        <v>0.37230919765166354</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-0.60708263069139967</v>
      </c>
      <c r="I12" s="349">
        <f>IF(ISNUMBER((Tasas!C12-Datos!BE12)/Datos!BE12),(Tasas!C12-Datos!BE12)/Datos!BE12," - ")</f>
        <v>4.4011908831259876E-2</v>
      </c>
      <c r="J12" s="348">
        <f>IF(ISNUMBER((Tasas!D12-Datos!BF12)/Datos!BF12),(Tasas!D12-Datos!BF12)/Datos!BF12," - ")</f>
        <v>-0.4167970870154028</v>
      </c>
      <c r="K12" s="350">
        <f>IF(ISNUMBER((Tasas!E12-Datos!BG12)/Datos!BG12),(Tasas!E12-Datos!BG12)/Datos!BG12," - ")</f>
        <v>3.5766185706812691E-2</v>
      </c>
      <c r="M12" t="e">
        <f>IF(Monitorios="SI",Datos!CE12,0)</f>
        <v>#REF!</v>
      </c>
      <c r="N12" t="e">
        <f>IF(Monitorios="SI",Datos!CF12,0)</f>
        <v>#REF!</v>
      </c>
      <c r="O12" t="e">
        <f>IF(Monitorios="SI",Datos!CG12,0)</f>
        <v>#REF!</v>
      </c>
      <c r="P12" t="e">
        <f>IF(Monitorios="SI",Datos!CH12,0)</f>
        <v>#REF!</v>
      </c>
      <c r="Q12">
        <f>IF(J_V="SI",0,Datos!AG12)</f>
        <v>71</v>
      </c>
      <c r="R12">
        <f>IF(J_V="SI",0,Datos!AH12)</f>
        <v>33</v>
      </c>
      <c r="S12">
        <f>IF(J_V="SI",0,Datos!AI12)</f>
        <v>37</v>
      </c>
      <c r="T12">
        <f>IF(J_V="SI",0,Datos!AJ12)</f>
        <v>67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-0.60301507537688437</v>
      </c>
      <c r="I13" s="356">
        <f>IF(ISNUMBER((Tasas!C13-Datos!BE13)/Datos!BE13),(Tasas!C13-Datos!BE13)/Datos!BE13," - ")</f>
        <v>5.3916502432970664E-2</v>
      </c>
      <c r="J13" s="354">
        <f>IF(ISNUMBER((Tasas!D13-Datos!BF13)/Datos!BF13),(Tasas!D13-Datos!BF13)/Datos!BF13," - ")</f>
        <v>-0.41198858230256896</v>
      </c>
      <c r="K13" s="357">
        <f>IF(ISNUMBER((Tasas!E13-Datos!BG13)/Datos!BG13),(Tasas!E13-Datos!BG13)/Datos!BG13," - ")</f>
        <v>4.388714271827205E-2</v>
      </c>
      <c r="M13" t="e">
        <f>IF(Monitorios="SI",Datos!CE13,0)</f>
        <v>#REF!</v>
      </c>
      <c r="N13" t="e">
        <f>IF(Monitorios="SI",Datos!CF13,0)</f>
        <v>#REF!</v>
      </c>
      <c r="O13" t="e">
        <f>IF(Monitorios="SI",Datos!CG13,0)</f>
        <v>#REF!</v>
      </c>
      <c r="P13" t="e">
        <f>IF(Monitorios="SI",Datos!CH13,0)</f>
        <v>#REF!</v>
      </c>
      <c r="Q13">
        <f>IF(J_V="SI",0,Datos!AG13)</f>
        <v>71</v>
      </c>
      <c r="R13">
        <f>IF(J_V="SI",0,Datos!AH13)</f>
        <v>33</v>
      </c>
      <c r="S13">
        <f>IF(J_V="SI",0,Datos!AI13)</f>
        <v>37</v>
      </c>
      <c r="T13">
        <f>IF(J_V="SI",0,Datos!AJ13)</f>
        <v>67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0.1732751784298176</v>
      </c>
      <c r="E17" s="347">
        <f>IF(ISNUMBER(
   IF(D_I="SI",(Datos!J17-Datos!T17)/Datos!T17,(Datos!J17+Datos!AD17-(Datos!T17+Datos!AL17))/(Datos!T17+Datos!AL17))
     ),IF(D_I="SI",(Datos!J17-Datos!T17)/Datos!T17,(Datos!J17+Datos!AD17-(Datos!T17+Datos!AL17))/(Datos!T17+Datos!AL17))," - ")</f>
        <v>-0.22358722358722358</v>
      </c>
      <c r="F17" s="347">
        <f>IF(ISNUMBER(
   IF(D_I="SI",(Datos!K17-Datos!U17)/Datos!U17,(Datos!K17+Datos!AE17-(Datos!U17+Datos!AM17))/(Datos!U17+Datos!AM17))
     ),IF(D_I="SI",(Datos!K17-Datos!U17)/Datos!U17,(Datos!K17+Datos!AE17-(Datos!U17+Datos!AM17))/(Datos!U17+Datos!AM17))," - ")</f>
        <v>-2.6833631484794273E-3</v>
      </c>
      <c r="G17" s="348">
        <f>IF(ISNUMBER(
   IF(D_I="SI",(Datos!L17-Datos!V17)/Datos!V17,(Datos!L17+Datos!AF17-(Datos!V17+Datos!AN17))/(Datos!V17+Datos!AN17))
     ),IF(D_I="SI",(Datos!L17-Datos!V17)/Datos!V17,(Datos!L17+Datos!AF17-(Datos!V17+Datos!AN17))/(Datos!V17+Datos!AN17))," - ")</f>
        <v>6.3619047619047617E-2</v>
      </c>
      <c r="H17" s="229">
        <f>IF(ISNUMBER((Datos!M17-Datos!W17)/Datos!W17),(Datos!M17-Datos!W17)/Datos!W17," - ")</f>
        <v>7.8260869565217397E-2</v>
      </c>
      <c r="I17" s="349">
        <f>IF(ISNUMBER((Tasas!C17-Datos!BE17)/Datos!BE17),(Tasas!C17-Datos!BE17)/Datos!BE17," - ")</f>
        <v>6.6480802904121228E-2</v>
      </c>
      <c r="J17" s="348">
        <f>IF(ISNUMBER((Tasas!D17-Datos!BF17)/Datos!BF17),(Tasas!D17-Datos!BF17)/Datos!BF17," - ")</f>
        <v>8.1162019886917555E-2</v>
      </c>
      <c r="K17" s="350">
        <f>IF(ISNUMBER((Tasas!E17-Datos!BG17)/Datos!BG17),(Tasas!E17-Datos!BG17)/Datos!BG17," - ")</f>
        <v>4.6623592739331608E-2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0.45390070921985815</v>
      </c>
      <c r="E18" s="347">
        <f>IF(ISNUMBER(
   IF(D_I="SI",(Datos!J18-Datos!T18)/Datos!T18,(Datos!J18+Datos!AD18-(Datos!T18+Datos!AL18))/(Datos!T18+Datos!AL18))
     ),IF(D_I="SI",(Datos!J18-Datos!T18)/Datos!T18,(Datos!J18+Datos!AD18-(Datos!T18+Datos!AL18))/(Datos!T18+Datos!AL18))," - ")</f>
        <v>0.38135593220338981</v>
      </c>
      <c r="F18" s="347">
        <f>IF(ISNUMBER(
   IF(D_I="SI",(Datos!K18-Datos!U18)/Datos!U18,(Datos!K18+Datos!AE18-(Datos!U18+Datos!AM18))/(Datos!U18+Datos!AM18))
     ),IF(D_I="SI",(Datos!K18-Datos!U18)/Datos!U18,(Datos!K18+Datos!AE18-(Datos!U18+Datos!AM18))/(Datos!U18+Datos!AM18))," - ")</f>
        <v>0.60784313725490191</v>
      </c>
      <c r="G18" s="348">
        <f>IF(ISNUMBER(
   IF(D_I="SI",(Datos!L18-Datos!V18)/Datos!V18,(Datos!L18+Datos!AF18-(Datos!V18+Datos!AN18))/(Datos!V18+Datos!AN18))
     ),IF(D_I="SI",(Datos!L18-Datos!V18)/Datos!V18,(Datos!L18+Datos!AF18-(Datos!V18+Datos!AN18))/(Datos!V18+Datos!AN18))," - ")</f>
        <v>0.33121019108280253</v>
      </c>
      <c r="H18" s="229">
        <f>IF(ISNUMBER((Datos!M18-Datos!W18)/Datos!W18),(Datos!M18-Datos!W18)/Datos!W18," - ")</f>
        <v>-0.5</v>
      </c>
      <c r="I18" s="349">
        <f>IF(ISNUMBER((Tasas!C18-Datos!BE18)/Datos!BE18),(Tasas!C18-Datos!BE18)/Datos!BE18," - ")</f>
        <v>-0.17205219822898868</v>
      </c>
      <c r="J18" s="348">
        <f>IF(ISNUMBER((Tasas!D18-Datos!BF18)/Datos!BF18),(Tasas!D18-Datos!BF18)/Datos!BF18," - ")</f>
        <v>-0.68902439024390238</v>
      </c>
      <c r="K18" s="350">
        <f>IF(ISNUMBER((Tasas!E18-Datos!BG18)/Datos!BG18),(Tasas!E18-Datos!BG18)/Datos!BG18," - ")</f>
        <v>-0.11630096995950641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0.18813368381524595</v>
      </c>
      <c r="E19" s="353">
        <f>IF(ISNUMBER(
   IF(D_I="SI",(Datos!J19-Datos!T19)/Datos!T19,(Datos!J19+Datos!AD19-(Datos!T19+Datos!AL19))/(Datos!T19+Datos!AL19))
     ),IF(D_I="SI",(Datos!J19-Datos!T19)/Datos!T19,(Datos!J19+Datos!AD19-(Datos!T19+Datos!AL19))/(Datos!T19+Datos!AL19))," - ")</f>
        <v>-0.17027632561613143</v>
      </c>
      <c r="F19" s="353">
        <f>IF(ISNUMBER(
   IF(D_I="SI",(Datos!K19-Datos!U19)/Datos!U19,(Datos!K19+Datos!AE19-(Datos!U19+Datos!AM19))/(Datos!U19+Datos!AM19))
     ),IF(D_I="SI",(Datos!K19-Datos!U19)/Datos!U19,(Datos!K19+Datos!AE19-(Datos!U19+Datos!AM19))/(Datos!U19+Datos!AM19))," - ")</f>
        <v>4.836065573770492E-2</v>
      </c>
      <c r="G19" s="354">
        <f>IF(ISNUMBER(
   IF(D_I="SI",(Datos!L19-Datos!V19)/Datos!V19,(Datos!L19+Datos!AF19-(Datos!V19+Datos!AN19))/(Datos!V19+Datos!AN19))
     ),IF(D_I="SI",(Datos!L19-Datos!V19)/Datos!V19,(Datos!L19+Datos!AF19-(Datos!V19+Datos!AN19))/(Datos!V19+Datos!AN19))," - ")</f>
        <v>7.8720345075485268E-2</v>
      </c>
      <c r="H19" s="355">
        <f>IF(ISNUMBER((Datos!M19-Datos!W19)/Datos!W19),(Datos!M19-Datos!W19)/Datos!W19," - ")</f>
        <v>5.8823529411764705E-2</v>
      </c>
      <c r="I19" s="356">
        <f>IF(ISNUMBER((Tasas!C19-Datos!BE19)/Datos!BE19),(Tasas!C19-Datos!BE19)/Datos!BE19," - ")</f>
        <v>2.8959203277632573E-2</v>
      </c>
      <c r="J19" s="354">
        <f>IF(ISNUMBER((Tasas!D19-Datos!BF19)/Datos!BF19),(Tasas!D19-Datos!BF19)/Datos!BF19," - ")</f>
        <v>9.9802235202134833E-3</v>
      </c>
      <c r="K19" s="357">
        <f>IF(ISNUMBER((Tasas!E19-Datos!BG19)/Datos!BG19),(Tasas!E19-Datos!BG19)/Datos!BG19," - ")</f>
        <v>1.8939318456487088E-2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-5.6930391320248692E-2</v>
      </c>
      <c r="E20" s="362">
        <f>IF(ISNUMBER(
   IF(J_V="SI",(Datos!J20-Datos!T20)/Datos!T20,(Datos!J20+Datos!Z20-(Datos!T20+Datos!AH20))/(Datos!T20+Datos!AH20))
     ),IF(J_V="SI",(Datos!J20-Datos!T20)/Datos!T20,(Datos!J20+Datos!Z20-(Datos!T20+Datos!AH20))/(Datos!T20+Datos!AH20))," - ")</f>
        <v>-0.31371444663475079</v>
      </c>
      <c r="F20" s="362">
        <f>IF(ISNUMBER(
   IF(J_V="SI",(Datos!K20-Datos!U20)/Datos!U20,(Datos!K20+Datos!AA20-(Datos!U20+Datos!AI20))/(Datos!U20+Datos!AI20))
     ),IF(J_V="SI",(Datos!K20-Datos!U20)/Datos!U20,(Datos!K20+Datos!AA20-(Datos!U20+Datos!AI20))/(Datos!U20+Datos!AI20))," - ")</f>
        <v>-0.1247182569496619</v>
      </c>
      <c r="G20" s="363">
        <f>IF(ISNUMBER(
   IF(J_V="SI",(Datos!L20-Datos!V20)/Datos!V20,(Datos!L20+Datos!AB20-(Datos!V20+Datos!AJ20))/(Datos!V20+Datos!AJ20))
     ),IF(J_V="SI",(Datos!L20-Datos!V20)/Datos!V20,(Datos!L20+Datos!AB20-(Datos!V20+Datos!AJ20))/(Datos!V20+Datos!AJ20))," - ")</f>
        <v>-0.13682358117025956</v>
      </c>
      <c r="H20" s="364">
        <f>IF(ISNUMBER((Datos!M20-Datos!W20)/Datos!W20),(Datos!M20-Datos!W20)/Datos!W20," - ")</f>
        <v>-0.49301675977653631</v>
      </c>
      <c r="I20" s="361">
        <f>IF(ISNUMBER((Tasas!C20-Datos!BE20)/Datos!BE20),(Tasas!C20-Datos!BE20)/Datos!BE20," - ")</f>
        <v>-1.3830203036579922E-2</v>
      </c>
      <c r="J20" s="362">
        <f>IF(ISNUMBER((Tasas!D20-Datos!BF20)/Datos!BF20),(Tasas!D20-Datos!BF20)/Datos!BF20," - ")</f>
        <v>-0.38285177805027598</v>
      </c>
      <c r="K20" s="363">
        <f>IF(ISNUMBER((Tasas!E20-Datos!BG20)/Datos!BG20),(Tasas!E20-Datos!BG20)/Datos!BG20," - ")</f>
        <v>-1.1183992884168386E-2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0.1525931399092928</v>
      </c>
      <c r="E22" s="277">
        <f t="shared" si="1"/>
        <v>0.31150000465354266</v>
      </c>
      <c r="F22" s="277">
        <f t="shared" si="1"/>
        <v>0.33964047836715344</v>
      </c>
      <c r="G22" s="278">
        <f t="shared" si="1"/>
        <v>0.12290316027775061</v>
      </c>
      <c r="H22" s="284">
        <f t="shared" si="1"/>
        <v>0.34040162422903375</v>
      </c>
      <c r="I22" s="276">
        <f t="shared" si="1"/>
        <v>0.19214441576584623</v>
      </c>
      <c r="J22" s="277">
        <f t="shared" si="1"/>
        <v>0.35378973027351612</v>
      </c>
      <c r="K22" s="278">
        <f t="shared" si="1"/>
        <v>0.16189356622625875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0fdbNltNHRC4puvaSNOSZUWc5xuMSsDnxlXPmJFRiS+u5f5H3BHmaoYfm8nJPJwyJ3qdnTwy3iq4ljF998q2+g==" saltValue="sZ2kPCKm1Xb0ytr2NIPCs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